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charts/chart5.xml" ContentType="application/vnd.openxmlformats-officedocument.drawingml.chart+xml"/>
  <Override PartName="/xl/drawings/drawing10.xml" ContentType="application/vnd.openxmlformats-officedocument.drawingml.chartshapes+xml"/>
  <Override PartName="/xl/charts/chart6.xml" ContentType="application/vnd.openxmlformats-officedocument.drawingml.chart+xml"/>
  <Override PartName="/xl/drawings/drawing11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anastasiia.tsurkan/Downloads/"/>
    </mc:Choice>
  </mc:AlternateContent>
  <xr:revisionPtr revIDLastSave="0" documentId="13_ncr:1_{35052110-D4AE-3B4A-8B69-F46E7F2AB872}" xr6:coauthVersionLast="47" xr6:coauthVersionMax="47" xr10:uidLastSave="{00000000-0000-0000-0000-000000000000}"/>
  <bookViews>
    <workbookView xWindow="0" yWindow="740" windowWidth="29400" windowHeight="18380" firstSheet="4" activeTab="16" xr2:uid="{1C6C85BF-CF94-4E1F-89FE-8C37D8518427}"/>
  </bookViews>
  <sheets>
    <sheet name="Index" sheetId="1" r:id="rId1"/>
    <sheet name="1.Input" sheetId="2" r:id="rId2"/>
    <sheet name="IS assumptions" sheetId="3" r:id="rId3"/>
    <sheet name="BS assumptions" sheetId="4" r:id="rId4"/>
    <sheet name="2.Output" sheetId="5" r:id="rId5"/>
    <sheet name="IS" sheetId="6" r:id="rId6"/>
    <sheet name="BS" sheetId="7" r:id="rId7"/>
    <sheet name="Cash Flow" sheetId="8" r:id="rId8"/>
    <sheet name="DCF valuation" sheetId="9" r:id="rId9"/>
    <sheet name="3.Charts " sheetId="10" r:id="rId10"/>
    <sheet name="Revenues&amp;Ebitda" sheetId="11" r:id="rId11"/>
    <sheet name="Cash flows" sheetId="12" r:id="rId12"/>
    <sheet name="Working capital" sheetId="13" r:id="rId13"/>
    <sheet name="DCF results" sheetId="14" r:id="rId14"/>
    <sheet name="4.Sources --&gt;" sheetId="15" r:id="rId15"/>
    <sheet name="IS source" sheetId="16" r:id="rId16"/>
    <sheet name="BS source" sheetId="17" r:id="rId17"/>
  </sheets>
  <externalReferences>
    <externalReference r:id="rId18"/>
    <externalReference r:id="rId19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3" l="1"/>
  <c r="B11" i="13"/>
  <c r="F10" i="13"/>
  <c r="B10" i="13"/>
  <c r="F9" i="13"/>
  <c r="B9" i="13"/>
  <c r="B6" i="13"/>
  <c r="B5" i="13"/>
  <c r="B4" i="13"/>
  <c r="K3" i="13"/>
  <c r="J3" i="13"/>
  <c r="I3" i="13"/>
  <c r="H3" i="13"/>
  <c r="G3" i="13"/>
  <c r="E3" i="13"/>
  <c r="D3" i="13"/>
  <c r="C3" i="13"/>
  <c r="B3" i="13"/>
  <c r="G3" i="12"/>
  <c r="F3" i="12"/>
  <c r="E3" i="12"/>
  <c r="D3" i="12"/>
  <c r="C3" i="12"/>
  <c r="B4" i="11"/>
  <c r="K3" i="11"/>
  <c r="J3" i="11"/>
  <c r="I3" i="11"/>
  <c r="H3" i="11"/>
  <c r="G3" i="11"/>
  <c r="F3" i="11"/>
  <c r="E3" i="11"/>
  <c r="D3" i="11"/>
  <c r="C3" i="11"/>
  <c r="B3" i="11"/>
  <c r="K10" i="9"/>
  <c r="J10" i="9"/>
  <c r="I10" i="9"/>
  <c r="H10" i="9"/>
  <c r="G10" i="9"/>
  <c r="F31" i="8"/>
  <c r="D30" i="8"/>
  <c r="E21" i="7"/>
  <c r="D21" i="7"/>
  <c r="C21" i="7"/>
  <c r="B21" i="7"/>
  <c r="E19" i="7"/>
  <c r="E26" i="8" s="1"/>
  <c r="D19" i="7"/>
  <c r="D26" i="8" s="1"/>
  <c r="C19" i="7"/>
  <c r="B17" i="7"/>
  <c r="F16" i="7"/>
  <c r="F6" i="13" s="1"/>
  <c r="B16" i="7"/>
  <c r="F14" i="7"/>
  <c r="E12" i="7"/>
  <c r="D12" i="7"/>
  <c r="C12" i="7"/>
  <c r="B12" i="7"/>
  <c r="F10" i="7"/>
  <c r="B10" i="7"/>
  <c r="F9" i="7"/>
  <c r="F5" i="13" s="1"/>
  <c r="E9" i="7"/>
  <c r="E13" i="8" s="1"/>
  <c r="D9" i="7"/>
  <c r="D13" i="8" s="1"/>
  <c r="C9" i="7"/>
  <c r="C5" i="13" s="1"/>
  <c r="B9" i="7"/>
  <c r="F8" i="7"/>
  <c r="F4" i="13" s="1"/>
  <c r="E8" i="7"/>
  <c r="E4" i="13" s="1"/>
  <c r="C8" i="7"/>
  <c r="C4" i="13" s="1"/>
  <c r="B8" i="7"/>
  <c r="G6" i="7"/>
  <c r="H6" i="7" s="1"/>
  <c r="I6" i="7" s="1"/>
  <c r="J6" i="7" s="1"/>
  <c r="K6" i="7" s="1"/>
  <c r="E6" i="7"/>
  <c r="D6" i="7"/>
  <c r="C6" i="7"/>
  <c r="B6" i="7"/>
  <c r="F5" i="7"/>
  <c r="B5" i="7"/>
  <c r="E4" i="7"/>
  <c r="E19" i="8" s="1"/>
  <c r="D4" i="7"/>
  <c r="D19" i="8" s="1"/>
  <c r="C4" i="7"/>
  <c r="B4" i="7"/>
  <c r="F22" i="6"/>
  <c r="D22" i="6"/>
  <c r="K18" i="6"/>
  <c r="K20" i="8" s="1"/>
  <c r="J18" i="6"/>
  <c r="J20" i="8" s="1"/>
  <c r="I18" i="6"/>
  <c r="I20" i="8" s="1"/>
  <c r="H18" i="6"/>
  <c r="H20" i="8" s="1"/>
  <c r="G18" i="6"/>
  <c r="G20" i="8" s="1"/>
  <c r="F18" i="6"/>
  <c r="E18" i="6"/>
  <c r="E20" i="8" s="1"/>
  <c r="D18" i="6"/>
  <c r="D20" i="8" s="1"/>
  <c r="C18" i="6"/>
  <c r="B18" i="6"/>
  <c r="F17" i="6"/>
  <c r="B17" i="6"/>
  <c r="F14" i="6"/>
  <c r="B14" i="6"/>
  <c r="F11" i="6"/>
  <c r="B11" i="6"/>
  <c r="F8" i="6"/>
  <c r="B8" i="6"/>
  <c r="K5" i="6"/>
  <c r="J5" i="6"/>
  <c r="I5" i="6"/>
  <c r="H5" i="6"/>
  <c r="G5" i="6"/>
  <c r="N18" i="6" s="1"/>
  <c r="F5" i="6"/>
  <c r="B5" i="6"/>
  <c r="F4" i="6"/>
  <c r="F6" i="6" s="1"/>
  <c r="F9" i="6" s="1"/>
  <c r="F12" i="6" s="1"/>
  <c r="F15" i="6" s="1"/>
  <c r="F19" i="6" s="1"/>
  <c r="F24" i="6" s="1"/>
  <c r="B4" i="6"/>
  <c r="F20" i="4"/>
  <c r="F17" i="7" s="1"/>
  <c r="E20" i="4"/>
  <c r="E21" i="4" s="1"/>
  <c r="D20" i="4"/>
  <c r="D21" i="4" s="1"/>
  <c r="C20" i="4"/>
  <c r="C21" i="4" s="1"/>
  <c r="E17" i="4"/>
  <c r="E18" i="4" s="1"/>
  <c r="D17" i="4"/>
  <c r="D18" i="4" s="1"/>
  <c r="C17" i="4"/>
  <c r="C10" i="7" s="1"/>
  <c r="K15" i="4"/>
  <c r="J15" i="4"/>
  <c r="I15" i="4"/>
  <c r="H15" i="4"/>
  <c r="G15" i="4"/>
  <c r="E14" i="4"/>
  <c r="E5" i="7" s="1"/>
  <c r="D14" i="4"/>
  <c r="D5" i="7" s="1"/>
  <c r="C14" i="4"/>
  <c r="C5" i="7" s="1"/>
  <c r="F11" i="4"/>
  <c r="E11" i="4"/>
  <c r="E16" i="7" s="1"/>
  <c r="D11" i="4"/>
  <c r="D16" i="7" s="1"/>
  <c r="C11" i="4"/>
  <c r="C16" i="7" s="1"/>
  <c r="E8" i="4"/>
  <c r="E9" i="4" s="1"/>
  <c r="D8" i="4"/>
  <c r="D9" i="4" s="1"/>
  <c r="D10" i="13" s="1"/>
  <c r="C8" i="4"/>
  <c r="C9" i="4" s="1"/>
  <c r="C10" i="13" s="1"/>
  <c r="E5" i="4"/>
  <c r="D5" i="4"/>
  <c r="C5" i="4"/>
  <c r="K52" i="3"/>
  <c r="K6" i="8" s="1"/>
  <c r="J52" i="3"/>
  <c r="J6" i="8" s="1"/>
  <c r="I52" i="3"/>
  <c r="I6" i="8" s="1"/>
  <c r="H52" i="3"/>
  <c r="H6" i="8" s="1"/>
  <c r="G52" i="3"/>
  <c r="G21" i="6" s="1"/>
  <c r="E52" i="3"/>
  <c r="E6" i="8" s="1"/>
  <c r="D52" i="3"/>
  <c r="D6" i="8" s="1"/>
  <c r="C52" i="3"/>
  <c r="E51" i="3"/>
  <c r="E22" i="6" s="1"/>
  <c r="D51" i="3"/>
  <c r="C51" i="3"/>
  <c r="C22" i="6" s="1"/>
  <c r="K46" i="3"/>
  <c r="J46" i="3"/>
  <c r="I46" i="3"/>
  <c r="H46" i="3"/>
  <c r="G46" i="3"/>
  <c r="E45" i="3"/>
  <c r="D45" i="3"/>
  <c r="C45" i="3"/>
  <c r="K40" i="3"/>
  <c r="J40" i="3"/>
  <c r="I40" i="3"/>
  <c r="H40" i="3"/>
  <c r="G40" i="3"/>
  <c r="E40" i="3"/>
  <c r="E39" i="3"/>
  <c r="G39" i="3" s="1"/>
  <c r="D39" i="3"/>
  <c r="D17" i="6" s="1"/>
  <c r="D24" i="8" s="1"/>
  <c r="C39" i="3"/>
  <c r="C17" i="6" s="1"/>
  <c r="K34" i="3"/>
  <c r="J34" i="3"/>
  <c r="I34" i="3"/>
  <c r="H34" i="3"/>
  <c r="G34" i="3"/>
  <c r="E33" i="3"/>
  <c r="E14" i="6" s="1"/>
  <c r="E9" i="8" s="1"/>
  <c r="D33" i="3"/>
  <c r="D14" i="6" s="1"/>
  <c r="D9" i="8" s="1"/>
  <c r="C33" i="3"/>
  <c r="C34" i="3" s="1"/>
  <c r="K28" i="3"/>
  <c r="J28" i="3"/>
  <c r="I28" i="3"/>
  <c r="H28" i="3"/>
  <c r="G28" i="3"/>
  <c r="C28" i="3"/>
  <c r="E27" i="3"/>
  <c r="E11" i="6" s="1"/>
  <c r="D27" i="3"/>
  <c r="D11" i="6" s="1"/>
  <c r="C27" i="3"/>
  <c r="C11" i="6" s="1"/>
  <c r="K22" i="3"/>
  <c r="J22" i="3"/>
  <c r="I22" i="3"/>
  <c r="H22" i="3"/>
  <c r="G22" i="3"/>
  <c r="E22" i="3"/>
  <c r="D22" i="3"/>
  <c r="E21" i="3"/>
  <c r="E8" i="6" s="1"/>
  <c r="D21" i="3"/>
  <c r="D8" i="6" s="1"/>
  <c r="C21" i="3"/>
  <c r="C8" i="6" s="1"/>
  <c r="E15" i="3"/>
  <c r="E5" i="6" s="1"/>
  <c r="D15" i="3"/>
  <c r="D5" i="6" s="1"/>
  <c r="C15" i="3"/>
  <c r="C5" i="6" s="1"/>
  <c r="K13" i="3"/>
  <c r="J13" i="3"/>
  <c r="I13" i="3"/>
  <c r="H13" i="3"/>
  <c r="G13" i="3"/>
  <c r="K10" i="3"/>
  <c r="J10" i="3"/>
  <c r="I10" i="3"/>
  <c r="H10" i="3"/>
  <c r="G10" i="3"/>
  <c r="E10" i="3"/>
  <c r="D10" i="3"/>
  <c r="G9" i="3"/>
  <c r="G33" i="3" s="1"/>
  <c r="G14" i="6" s="1"/>
  <c r="G9" i="8" s="1"/>
  <c r="E9" i="3"/>
  <c r="E28" i="3" s="1"/>
  <c r="D9" i="3"/>
  <c r="D28" i="3" s="1"/>
  <c r="C9" i="3"/>
  <c r="C15" i="4" s="1"/>
  <c r="B7" i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6" i="1"/>
  <c r="C6" i="13" l="1"/>
  <c r="C7" i="13" s="1"/>
  <c r="C23" i="7"/>
  <c r="G9" i="4"/>
  <c r="E10" i="13"/>
  <c r="K9" i="4"/>
  <c r="J9" i="4"/>
  <c r="I9" i="4"/>
  <c r="H9" i="4"/>
  <c r="H39" i="3"/>
  <c r="G17" i="6"/>
  <c r="G24" i="8" s="1"/>
  <c r="C14" i="7"/>
  <c r="D14" i="8"/>
  <c r="D6" i="13"/>
  <c r="E14" i="8"/>
  <c r="E6" i="13"/>
  <c r="D18" i="8"/>
  <c r="E18" i="8"/>
  <c r="D16" i="3"/>
  <c r="D34" i="3"/>
  <c r="G14" i="4"/>
  <c r="G5" i="7" s="1"/>
  <c r="G18" i="8" s="1"/>
  <c r="H21" i="6"/>
  <c r="D10" i="7"/>
  <c r="D16" i="8" s="1"/>
  <c r="E16" i="3"/>
  <c r="G16" i="3" s="1"/>
  <c r="H16" i="3" s="1"/>
  <c r="I16" i="3" s="1"/>
  <c r="J16" i="3" s="1"/>
  <c r="K16" i="3" s="1"/>
  <c r="E34" i="3"/>
  <c r="C46" i="3"/>
  <c r="C12" i="4"/>
  <c r="C11" i="13" s="1"/>
  <c r="C4" i="6"/>
  <c r="I21" i="6"/>
  <c r="E10" i="7"/>
  <c r="G6" i="8"/>
  <c r="G27" i="3"/>
  <c r="G11" i="6" s="1"/>
  <c r="D46" i="3"/>
  <c r="D12" i="4"/>
  <c r="D11" i="13" s="1"/>
  <c r="D4" i="6"/>
  <c r="J21" i="6"/>
  <c r="G4" i="7"/>
  <c r="G21" i="3"/>
  <c r="G8" i="6" s="1"/>
  <c r="C22" i="3"/>
  <c r="D40" i="3"/>
  <c r="E46" i="3"/>
  <c r="E12" i="4"/>
  <c r="E4" i="6"/>
  <c r="K21" i="6"/>
  <c r="F23" i="7"/>
  <c r="C6" i="4"/>
  <c r="C9" i="13" s="1"/>
  <c r="G17" i="4"/>
  <c r="G10" i="7" s="1"/>
  <c r="G20" i="4"/>
  <c r="G17" i="7" s="1"/>
  <c r="D8" i="7"/>
  <c r="E12" i="8"/>
  <c r="D5" i="13"/>
  <c r="H9" i="3"/>
  <c r="D6" i="4"/>
  <c r="D9" i="13" s="1"/>
  <c r="G4" i="6"/>
  <c r="E17" i="6"/>
  <c r="E24" i="8" s="1"/>
  <c r="E5" i="13"/>
  <c r="E7" i="13" s="1"/>
  <c r="E6" i="4"/>
  <c r="D15" i="4"/>
  <c r="E15" i="4"/>
  <c r="C14" i="6"/>
  <c r="C17" i="7"/>
  <c r="G19" i="7"/>
  <c r="C18" i="4"/>
  <c r="D17" i="7"/>
  <c r="D23" i="7" s="1"/>
  <c r="E17" i="7"/>
  <c r="E23" i="7" s="1"/>
  <c r="D6" i="6" l="1"/>
  <c r="D9" i="6" s="1"/>
  <c r="D12" i="6" s="1"/>
  <c r="D4" i="11"/>
  <c r="G10" i="13"/>
  <c r="G8" i="4"/>
  <c r="G8" i="7" s="1"/>
  <c r="K12" i="4"/>
  <c r="J12" i="4"/>
  <c r="I12" i="4"/>
  <c r="E11" i="13"/>
  <c r="H12" i="4"/>
  <c r="G12" i="4"/>
  <c r="E16" i="8"/>
  <c r="G26" i="8"/>
  <c r="H19" i="7"/>
  <c r="E15" i="8"/>
  <c r="C6" i="6"/>
  <c r="C9" i="6" s="1"/>
  <c r="C12" i="6" s="1"/>
  <c r="C4" i="11"/>
  <c r="H17" i="6"/>
  <c r="H24" i="8" s="1"/>
  <c r="I39" i="3"/>
  <c r="E6" i="6"/>
  <c r="E9" i="6" s="1"/>
  <c r="E12" i="6" s="1"/>
  <c r="E4" i="11"/>
  <c r="D4" i="13"/>
  <c r="D7" i="13" s="1"/>
  <c r="D12" i="8"/>
  <c r="D15" i="8" s="1"/>
  <c r="D14" i="7"/>
  <c r="H10" i="13"/>
  <c r="G4" i="11"/>
  <c r="G6" i="6"/>
  <c r="G9" i="6" s="1"/>
  <c r="G12" i="6" s="1"/>
  <c r="E14" i="7"/>
  <c r="I10" i="13"/>
  <c r="K6" i="4"/>
  <c r="J6" i="4"/>
  <c r="E9" i="13"/>
  <c r="I6" i="4"/>
  <c r="H6" i="4"/>
  <c r="G6" i="4"/>
  <c r="G16" i="8"/>
  <c r="G19" i="8"/>
  <c r="H4" i="7"/>
  <c r="J10" i="13"/>
  <c r="H33" i="3"/>
  <c r="H14" i="6" s="1"/>
  <c r="H9" i="8" s="1"/>
  <c r="H4" i="6"/>
  <c r="I9" i="3"/>
  <c r="H20" i="4"/>
  <c r="H17" i="7" s="1"/>
  <c r="H17" i="4"/>
  <c r="H10" i="7" s="1"/>
  <c r="H16" i="8" s="1"/>
  <c r="H27" i="3"/>
  <c r="H11" i="6" s="1"/>
  <c r="H14" i="4"/>
  <c r="H5" i="7" s="1"/>
  <c r="H21" i="3"/>
  <c r="H8" i="6" s="1"/>
  <c r="K10" i="13"/>
  <c r="G9" i="13" l="1"/>
  <c r="G5" i="4"/>
  <c r="G9" i="7" s="1"/>
  <c r="I9" i="13"/>
  <c r="I5" i="4"/>
  <c r="I9" i="7" s="1"/>
  <c r="G11" i="4"/>
  <c r="G16" i="7" s="1"/>
  <c r="G11" i="13"/>
  <c r="J9" i="13"/>
  <c r="H4" i="11"/>
  <c r="H6" i="6"/>
  <c r="H9" i="6" s="1"/>
  <c r="H12" i="6" s="1"/>
  <c r="E15" i="6"/>
  <c r="E5" i="11"/>
  <c r="E6" i="11" s="1"/>
  <c r="G4" i="13"/>
  <c r="G12" i="8"/>
  <c r="H9" i="13"/>
  <c r="H5" i="4"/>
  <c r="H9" i="7" s="1"/>
  <c r="I11" i="4"/>
  <c r="I16" i="7" s="1"/>
  <c r="I11" i="13"/>
  <c r="I4" i="7"/>
  <c r="H19" i="8"/>
  <c r="G14" i="7"/>
  <c r="C15" i="6"/>
  <c r="C19" i="6" s="1"/>
  <c r="C5" i="11"/>
  <c r="C6" i="11" s="1"/>
  <c r="H11" i="4"/>
  <c r="H16" i="7" s="1"/>
  <c r="H11" i="13"/>
  <c r="I17" i="6"/>
  <c r="I24" i="8" s="1"/>
  <c r="J39" i="3"/>
  <c r="K11" i="13"/>
  <c r="G15" i="6"/>
  <c r="G5" i="11"/>
  <c r="G6" i="11" s="1"/>
  <c r="I4" i="6"/>
  <c r="J9" i="3"/>
  <c r="I20" i="4"/>
  <c r="I17" i="7" s="1"/>
  <c r="I17" i="4"/>
  <c r="I10" i="7" s="1"/>
  <c r="I16" i="8" s="1"/>
  <c r="I27" i="3"/>
  <c r="I11" i="6" s="1"/>
  <c r="I14" i="4"/>
  <c r="I5" i="7" s="1"/>
  <c r="I21" i="3"/>
  <c r="I33" i="3"/>
  <c r="I14" i="6" s="1"/>
  <c r="I9" i="8" s="1"/>
  <c r="K9" i="13"/>
  <c r="J11" i="13"/>
  <c r="H18" i="8"/>
  <c r="H8" i="4"/>
  <c r="H8" i="7" s="1"/>
  <c r="H14" i="7" s="1"/>
  <c r="H26" i="8"/>
  <c r="I19" i="7"/>
  <c r="D15" i="6"/>
  <c r="D5" i="11"/>
  <c r="D6" i="11" s="1"/>
  <c r="E4" i="8" l="1"/>
  <c r="E19" i="6"/>
  <c r="J4" i="6"/>
  <c r="K9" i="3"/>
  <c r="J20" i="4"/>
  <c r="J17" i="7" s="1"/>
  <c r="J17" i="4"/>
  <c r="J10" i="7" s="1"/>
  <c r="J16" i="8" s="1"/>
  <c r="J27" i="3"/>
  <c r="J11" i="6" s="1"/>
  <c r="J14" i="4"/>
  <c r="J5" i="7" s="1"/>
  <c r="J21" i="3"/>
  <c r="J33" i="3"/>
  <c r="J14" i="6" s="1"/>
  <c r="J9" i="8" s="1"/>
  <c r="J5" i="4"/>
  <c r="J9" i="7" s="1"/>
  <c r="G14" i="8"/>
  <c r="G6" i="13"/>
  <c r="I4" i="11"/>
  <c r="I6" i="6"/>
  <c r="J4" i="7"/>
  <c r="I19" i="8"/>
  <c r="G4" i="8"/>
  <c r="G19" i="6"/>
  <c r="H5" i="13"/>
  <c r="H13" i="8"/>
  <c r="I5" i="13"/>
  <c r="I13" i="8"/>
  <c r="J19" i="7"/>
  <c r="I26" i="8"/>
  <c r="C24" i="6"/>
  <c r="C21" i="6"/>
  <c r="J17" i="6"/>
  <c r="J24" i="8" s="1"/>
  <c r="K39" i="3"/>
  <c r="K17" i="6" s="1"/>
  <c r="K24" i="8" s="1"/>
  <c r="I8" i="6"/>
  <c r="I8" i="4"/>
  <c r="I8" i="7" s="1"/>
  <c r="H15" i="6"/>
  <c r="H5" i="11"/>
  <c r="H6" i="11" s="1"/>
  <c r="I14" i="8"/>
  <c r="I6" i="13"/>
  <c r="G5" i="13"/>
  <c r="G7" i="13" s="1"/>
  <c r="G13" i="8"/>
  <c r="G15" i="8" s="1"/>
  <c r="H4" i="13"/>
  <c r="H12" i="8"/>
  <c r="I18" i="8"/>
  <c r="D4" i="8"/>
  <c r="D19" i="6"/>
  <c r="H14" i="8"/>
  <c r="H6" i="13"/>
  <c r="I4" i="13" l="1"/>
  <c r="I7" i="13" s="1"/>
  <c r="I12" i="8"/>
  <c r="I15" i="8" s="1"/>
  <c r="H7" i="13"/>
  <c r="J5" i="13"/>
  <c r="J13" i="8"/>
  <c r="G22" i="6"/>
  <c r="G24" i="6"/>
  <c r="G21" i="7" s="1"/>
  <c r="H15" i="8"/>
  <c r="D24" i="6"/>
  <c r="D27" i="8" s="1"/>
  <c r="D21" i="6"/>
  <c r="J18" i="8"/>
  <c r="I14" i="7"/>
  <c r="H19" i="6"/>
  <c r="H4" i="8"/>
  <c r="J8" i="6"/>
  <c r="J8" i="4"/>
  <c r="J8" i="7" s="1"/>
  <c r="J11" i="4"/>
  <c r="J16" i="7" s="1"/>
  <c r="G5" i="8"/>
  <c r="G25" i="8" s="1"/>
  <c r="J14" i="7"/>
  <c r="K4" i="7"/>
  <c r="J19" i="8"/>
  <c r="J4" i="11"/>
  <c r="J6" i="6"/>
  <c r="J9" i="6" s="1"/>
  <c r="J12" i="6" s="1"/>
  <c r="D5" i="8"/>
  <c r="D25" i="8" s="1"/>
  <c r="K4" i="6"/>
  <c r="K20" i="4"/>
  <c r="K17" i="7" s="1"/>
  <c r="K17" i="4"/>
  <c r="K10" i="7" s="1"/>
  <c r="K16" i="8" s="1"/>
  <c r="K27" i="3"/>
  <c r="K11" i="6" s="1"/>
  <c r="K14" i="4"/>
  <c r="K5" i="7" s="1"/>
  <c r="K18" i="8" s="1"/>
  <c r="K21" i="3"/>
  <c r="K33" i="3"/>
  <c r="K14" i="6" s="1"/>
  <c r="K9" i="8" s="1"/>
  <c r="K5" i="4"/>
  <c r="K9" i="7" s="1"/>
  <c r="E24" i="6"/>
  <c r="E27" i="8" s="1"/>
  <c r="E21" i="6"/>
  <c r="I9" i="6"/>
  <c r="I12" i="6" s="1"/>
  <c r="J26" i="8"/>
  <c r="K19" i="7"/>
  <c r="K26" i="8" s="1"/>
  <c r="E5" i="8"/>
  <c r="E25" i="8" s="1"/>
  <c r="J5" i="11" l="1"/>
  <c r="J6" i="11" s="1"/>
  <c r="J15" i="6"/>
  <c r="K8" i="6"/>
  <c r="K8" i="4"/>
  <c r="K8" i="7" s="1"/>
  <c r="K11" i="4"/>
  <c r="K16" i="7" s="1"/>
  <c r="H21" i="7"/>
  <c r="G27" i="8"/>
  <c r="G23" i="7"/>
  <c r="E7" i="8"/>
  <c r="E10" i="8" s="1"/>
  <c r="E23" i="8" s="1"/>
  <c r="G7" i="8"/>
  <c r="G10" i="8" s="1"/>
  <c r="G23" i="8" s="1"/>
  <c r="J14" i="8"/>
  <c r="J6" i="13"/>
  <c r="K4" i="11"/>
  <c r="K6" i="6"/>
  <c r="K9" i="6" s="1"/>
  <c r="K12" i="6" s="1"/>
  <c r="H5" i="8"/>
  <c r="H25" i="8" s="1"/>
  <c r="K5" i="13"/>
  <c r="K13" i="8"/>
  <c r="K14" i="7"/>
  <c r="K19" i="8"/>
  <c r="J12" i="8"/>
  <c r="J4" i="13"/>
  <c r="J7" i="13" s="1"/>
  <c r="I15" i="6"/>
  <c r="I5" i="11"/>
  <c r="I6" i="11" s="1"/>
  <c r="D7" i="8"/>
  <c r="D10" i="8" s="1"/>
  <c r="D23" i="8" s="1"/>
  <c r="H22" i="6"/>
  <c r="H24" i="6"/>
  <c r="I19" i="6" l="1"/>
  <c r="I4" i="8"/>
  <c r="E28" i="8"/>
  <c r="E31" i="8" s="1"/>
  <c r="E8" i="9"/>
  <c r="K14" i="8"/>
  <c r="K6" i="13"/>
  <c r="J15" i="8"/>
  <c r="H7" i="8"/>
  <c r="H10" i="8" s="1"/>
  <c r="H23" i="8" s="1"/>
  <c r="K5" i="11"/>
  <c r="K6" i="11" s="1"/>
  <c r="K15" i="6"/>
  <c r="J19" i="6"/>
  <c r="J4" i="8"/>
  <c r="G8" i="9"/>
  <c r="G28" i="8"/>
  <c r="G31" i="8" s="1"/>
  <c r="H27" i="8"/>
  <c r="H23" i="7"/>
  <c r="K12" i="8"/>
  <c r="K15" i="8" s="1"/>
  <c r="K4" i="13"/>
  <c r="K7" i="13" s="1"/>
  <c r="D28" i="8"/>
  <c r="D31" i="8" s="1"/>
  <c r="D32" i="8" s="1"/>
  <c r="E30" i="8" s="1"/>
  <c r="E32" i="8" s="1"/>
  <c r="F30" i="8" s="1"/>
  <c r="F32" i="8" s="1"/>
  <c r="G30" i="8" s="1"/>
  <c r="G32" i="8" s="1"/>
  <c r="H30" i="8" s="1"/>
  <c r="D8" i="9"/>
  <c r="J22" i="6" l="1"/>
  <c r="J24" i="6"/>
  <c r="K19" i="6"/>
  <c r="K4" i="8"/>
  <c r="H8" i="9"/>
  <c r="H28" i="8"/>
  <c r="H31" i="8" s="1"/>
  <c r="H32" i="8" s="1"/>
  <c r="I30" i="8" s="1"/>
  <c r="C4" i="12"/>
  <c r="G11" i="9"/>
  <c r="I5" i="8"/>
  <c r="I25" i="8" s="1"/>
  <c r="J7" i="8"/>
  <c r="J10" i="8" s="1"/>
  <c r="J23" i="8" s="1"/>
  <c r="J5" i="8"/>
  <c r="J25" i="8" s="1"/>
  <c r="I22" i="6"/>
  <c r="I24" i="6"/>
  <c r="I21" i="7" s="1"/>
  <c r="J8" i="9" l="1"/>
  <c r="D4" i="12"/>
  <c r="H11" i="9"/>
  <c r="D5" i="12" s="1"/>
  <c r="J21" i="7"/>
  <c r="I27" i="8"/>
  <c r="I23" i="7"/>
  <c r="I7" i="8"/>
  <c r="I10" i="8" s="1"/>
  <c r="I23" i="8" s="1"/>
  <c r="C5" i="12"/>
  <c r="K5" i="8"/>
  <c r="K25" i="8" s="1"/>
  <c r="K22" i="6"/>
  <c r="K24" i="6" s="1"/>
  <c r="I8" i="9" l="1"/>
  <c r="I28" i="8"/>
  <c r="I31" i="8" s="1"/>
  <c r="I32" i="8" s="1"/>
  <c r="J30" i="8" s="1"/>
  <c r="K21" i="7"/>
  <c r="J27" i="8"/>
  <c r="J28" i="8" s="1"/>
  <c r="J31" i="8" s="1"/>
  <c r="J23" i="7"/>
  <c r="J11" i="9"/>
  <c r="F5" i="12" s="1"/>
  <c r="F4" i="12"/>
  <c r="K7" i="8"/>
  <c r="K10" i="8" s="1"/>
  <c r="K23" i="8" s="1"/>
  <c r="K8" i="9" l="1"/>
  <c r="K27" i="8"/>
  <c r="K28" i="8" s="1"/>
  <c r="K31" i="8" s="1"/>
  <c r="K23" i="7"/>
  <c r="J32" i="8"/>
  <c r="K30" i="8" s="1"/>
  <c r="E4" i="12"/>
  <c r="I11" i="9"/>
  <c r="E5" i="12" l="1"/>
  <c r="K32" i="8"/>
  <c r="K11" i="9"/>
  <c r="G5" i="12" s="1"/>
  <c r="G4" i="12"/>
  <c r="C16" i="9"/>
  <c r="C17" i="9" s="1"/>
  <c r="C15" i="9" l="1"/>
  <c r="C18" i="9" l="1"/>
  <c r="E20" i="9" l="1"/>
  <c r="E17" i="9"/>
  <c r="E15" i="9"/>
</calcChain>
</file>

<file path=xl/sharedStrings.xml><?xml version="1.0" encoding="utf-8"?>
<sst xmlns="http://schemas.openxmlformats.org/spreadsheetml/2006/main" count="272" uniqueCount="145">
  <si>
    <t>DCF Valuation</t>
  </si>
  <si>
    <t>Sheet index</t>
  </si>
  <si>
    <t xml:space="preserve">#                </t>
  </si>
  <si>
    <t>Worksheet</t>
  </si>
  <si>
    <t>1.Input --&gt;</t>
  </si>
  <si>
    <t>Income Statement Assumptions</t>
  </si>
  <si>
    <t>Balance Sheet Assumptions</t>
  </si>
  <si>
    <t>2.Output --&gt;</t>
  </si>
  <si>
    <t xml:space="preserve">IS </t>
  </si>
  <si>
    <t>BS</t>
  </si>
  <si>
    <t>Cash Flow</t>
  </si>
  <si>
    <t>DCF valuation</t>
  </si>
  <si>
    <t>3.Charts --&gt;</t>
  </si>
  <si>
    <t>Revenue&amp;Ebitda</t>
  </si>
  <si>
    <t>Cash flows</t>
  </si>
  <si>
    <t>Ebitda bridge</t>
  </si>
  <si>
    <t>Working capital</t>
  </si>
  <si>
    <t>DCF results</t>
  </si>
  <si>
    <t>4. Sources --&gt;</t>
  </si>
  <si>
    <t>IS</t>
  </si>
  <si>
    <t>BS source</t>
  </si>
  <si>
    <t xml:space="preserve">1.Input </t>
  </si>
  <si>
    <t>Scenarios</t>
  </si>
  <si>
    <t>Optimisitc</t>
  </si>
  <si>
    <t>Scenario</t>
  </si>
  <si>
    <t>Base</t>
  </si>
  <si>
    <t>Worst</t>
  </si>
  <si>
    <t>$ in thousands</t>
  </si>
  <si>
    <t>2022
Actual</t>
  </si>
  <si>
    <t>2023
Actual</t>
  </si>
  <si>
    <t>2024
Actual</t>
  </si>
  <si>
    <t>2025
Forecast</t>
  </si>
  <si>
    <t>2026
Forecast</t>
  </si>
  <si>
    <t>2027
Forecast</t>
  </si>
  <si>
    <t>2028
Forecast</t>
  </si>
  <si>
    <t>2029
Forecast</t>
  </si>
  <si>
    <t>Revenues</t>
  </si>
  <si>
    <t>YoY Growth %</t>
  </si>
  <si>
    <t>Scenario 1</t>
  </si>
  <si>
    <t>Scenario 2</t>
  </si>
  <si>
    <t>Scenario 3</t>
  </si>
  <si>
    <t>Other Revenue</t>
  </si>
  <si>
    <t>COGS</t>
  </si>
  <si>
    <t>% Revenue</t>
  </si>
  <si>
    <t>Opex</t>
  </si>
  <si>
    <t>D&amp;A</t>
  </si>
  <si>
    <t>Interest Expense</t>
  </si>
  <si>
    <t>Extraordinary Items</t>
  </si>
  <si>
    <t>Taxes</t>
  </si>
  <si>
    <t>% EBIT</t>
  </si>
  <si>
    <t>Trade Receivables</t>
  </si>
  <si>
    <t>Days Revenue</t>
  </si>
  <si>
    <t>Inventory</t>
  </si>
  <si>
    <t>Days Inventory</t>
  </si>
  <si>
    <t>Trade Payables</t>
  </si>
  <si>
    <t>Days Payable</t>
  </si>
  <si>
    <t>PP&amp;E</t>
  </si>
  <si>
    <t>% of Revenue</t>
  </si>
  <si>
    <t>Other Assets</t>
  </si>
  <si>
    <t>Other Liabilities</t>
  </si>
  <si>
    <t>Income Statement</t>
  </si>
  <si>
    <t>Total Revenues</t>
  </si>
  <si>
    <t>Gross Margin</t>
  </si>
  <si>
    <t>EBITDA</t>
  </si>
  <si>
    <t>EBIT</t>
  </si>
  <si>
    <t>EBT</t>
  </si>
  <si>
    <t>Tax Rate</t>
  </si>
  <si>
    <t>Net Income</t>
  </si>
  <si>
    <t>Balance Sheet</t>
  </si>
  <si>
    <t>Total Assets</t>
  </si>
  <si>
    <t>Financial Liabilities</t>
  </si>
  <si>
    <t>Total Liabilities and Equities</t>
  </si>
  <si>
    <t>.</t>
  </si>
  <si>
    <t>Operating Taxes</t>
  </si>
  <si>
    <t>Operating Tax Rate</t>
  </si>
  <si>
    <t>NOPAT</t>
  </si>
  <si>
    <t>Gross Cash Flow</t>
  </si>
  <si>
    <t>1)</t>
  </si>
  <si>
    <t>Investments in Working Capital</t>
  </si>
  <si>
    <t>2)</t>
  </si>
  <si>
    <t>Investments in other Assets &amp; Liabilities</t>
  </si>
  <si>
    <t>3)</t>
  </si>
  <si>
    <t>CAPEX</t>
  </si>
  <si>
    <t>4)</t>
  </si>
  <si>
    <t>Other Investments</t>
  </si>
  <si>
    <t>5)</t>
  </si>
  <si>
    <t>6)</t>
  </si>
  <si>
    <t>UFCF</t>
  </si>
  <si>
    <t>1) + 2) + 3) + 4) + 5) + 6)</t>
  </si>
  <si>
    <t>Delta Taxes vs. Operating Taxes</t>
  </si>
  <si>
    <t xml:space="preserve">Delta Financial Liabilities </t>
  </si>
  <si>
    <t>Delta Equity (incl. Dividends)</t>
  </si>
  <si>
    <t>Net Cash Flow</t>
  </si>
  <si>
    <t>Beginning Cashflow</t>
  </si>
  <si>
    <t>Yearly Cashflow</t>
  </si>
  <si>
    <t>Ending Cashflow</t>
  </si>
  <si>
    <t>WACC</t>
  </si>
  <si>
    <t>Perpetuity Growth Rate (g)</t>
  </si>
  <si>
    <t>Note</t>
  </si>
  <si>
    <t>Discount Factor</t>
  </si>
  <si>
    <t>Present Value of UFCF</t>
  </si>
  <si>
    <t>Discounted Cash Flow Valuation</t>
  </si>
  <si>
    <t>PV of Cash Flows</t>
  </si>
  <si>
    <t>Terminal Value</t>
  </si>
  <si>
    <t>PV of Terminal Value</t>
  </si>
  <si>
    <t>Enterprise Value</t>
  </si>
  <si>
    <t>Revenues &amp; EBITDA</t>
  </si>
  <si>
    <t>EBITDA%</t>
  </si>
  <si>
    <t>Present value of UFCF</t>
  </si>
  <si>
    <t>CFs in Forecast period</t>
  </si>
  <si>
    <t>4.Sources --&gt;</t>
  </si>
  <si>
    <t>IS source</t>
  </si>
  <si>
    <t>USD in thousands</t>
  </si>
  <si>
    <t>2022
Act</t>
  </si>
  <si>
    <t>2023
Act</t>
  </si>
  <si>
    <t>2024
Act</t>
  </si>
  <si>
    <t>Revenue from sales and services</t>
  </si>
  <si>
    <t>Other revenue</t>
  </si>
  <si>
    <t>Revenue</t>
  </si>
  <si>
    <t>Raw materials</t>
  </si>
  <si>
    <t>Direct costs</t>
  </si>
  <si>
    <t>Cost for services</t>
  </si>
  <si>
    <t>Lease costs</t>
  </si>
  <si>
    <t>Other operating expenses</t>
  </si>
  <si>
    <t>Extraordinary Expenses</t>
  </si>
  <si>
    <t>Intangible assets</t>
  </si>
  <si>
    <t>Share Capital</t>
  </si>
  <si>
    <t>Reserves</t>
  </si>
  <si>
    <t>Financial assets</t>
  </si>
  <si>
    <t>Retained earnings</t>
  </si>
  <si>
    <t>Profit/(loss) for the year</t>
  </si>
  <si>
    <t>Fixed assets</t>
  </si>
  <si>
    <t>Total Equity</t>
  </si>
  <si>
    <t>Trade payable</t>
  </si>
  <si>
    <t>Trade receivables</t>
  </si>
  <si>
    <t>Other liabilities</t>
  </si>
  <si>
    <t>Other assets</t>
  </si>
  <si>
    <t>Deferred taxes</t>
  </si>
  <si>
    <t>Provisions for retirement benefits</t>
  </si>
  <si>
    <t>Cash and equivalents</t>
  </si>
  <si>
    <t>Non fixed assets</t>
  </si>
  <si>
    <t>Bank borrowings</t>
  </si>
  <si>
    <t>Other Financial liabilities</t>
  </si>
  <si>
    <t>Total Liabilities</t>
  </si>
  <si>
    <t>Total Liabilities &amp; Equity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</si>
</sst>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* #,##0.0_);_(* \(#,##0.0\);_(* &quot;-&quot;?_);@_)"/>
    <numFmt numFmtId="167" formatCode="_(* #,##0_);_(* \(#,##0\);_(* &quot;-&quot;?_);@_)"/>
    <numFmt numFmtId="168" formatCode="0.0%"/>
    <numFmt numFmtId="169" formatCode="_(* #,##0.0000_);_(* \(#,##0.0000\);_(* &quot;-&quot;?_);@_)"/>
    <numFmt numFmtId="170" formatCode="_(* #,##0_);_(* \(#,##0\);_(* &quot;-&quot;??_);_(@_)"/>
    <numFmt numFmtId="171" formatCode="_(* #,##0.0000_);_(* \(#,##0.0000\);_(* &quot;-&quot;??_);_(@_)"/>
    <numFmt numFmtId="172" formatCode="_(* #,##0.0_);_(* \(#,##0.0\);_(* &quot;-&quot;?_);@_l"/>
    <numFmt numFmtId="173" formatCode="_(* #,##0_);_(* \(#,##0\);_(* &quot;-&quot;?_);@_l"/>
    <numFmt numFmtId="174" formatCode="_(* #,##0.00_);_(* \(#,##0.00\);_(* &quot;-&quot;?_);@_)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2"/>
      <color rgb="FF002060"/>
      <name val="Arial"/>
      <family val="2"/>
    </font>
    <font>
      <sz val="9"/>
      <color theme="1"/>
      <name val="Arial"/>
      <family val="2"/>
    </font>
    <font>
      <b/>
      <sz val="9"/>
      <color rgb="FF002060"/>
      <name val="Arial"/>
      <family val="2"/>
    </font>
    <font>
      <b/>
      <sz val="9"/>
      <color theme="3"/>
      <name val="Aptos Narrow"/>
      <family val="2"/>
      <scheme val="minor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8"/>
      <color theme="1"/>
      <name val="Arial"/>
      <family val="2"/>
    </font>
    <font>
      <sz val="9"/>
      <color rgb="FF002060"/>
      <name val="Arial"/>
      <family val="2"/>
    </font>
    <font>
      <b/>
      <sz val="32"/>
      <color rgb="FF002060"/>
      <name val="Arial"/>
      <family val="2"/>
    </font>
    <font>
      <sz val="9"/>
      <color theme="0"/>
      <name val="Arial"/>
      <family val="2"/>
    </font>
    <font>
      <i/>
      <sz val="8"/>
      <color theme="1"/>
      <name val="Arial"/>
      <family val="2"/>
    </font>
    <font>
      <b/>
      <sz val="9"/>
      <color theme="3"/>
      <name val="Arial"/>
      <family val="2"/>
    </font>
    <font>
      <b/>
      <sz val="9"/>
      <color theme="1"/>
      <name val="Arial"/>
      <family val="2"/>
    </font>
    <font>
      <sz val="9"/>
      <color theme="3"/>
      <name val="Arial"/>
      <family val="2"/>
    </font>
    <font>
      <sz val="9"/>
      <name val="Arial"/>
      <family val="2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gray0625">
        <bgColor theme="0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6" fillId="0" borderId="1" applyFill="0" applyProtection="0">
      <alignment horizontal="right" wrapText="1"/>
    </xf>
    <xf numFmtId="0" fontId="18" fillId="0" borderId="0" applyNumberFormat="0" applyFill="0" applyBorder="0" applyAlignment="0" applyProtection="0"/>
  </cellStyleXfs>
  <cellXfs count="115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6" fillId="2" borderId="1" xfId="5" applyFill="1" applyAlignment="1">
      <alignment horizontal="left" wrapText="1"/>
    </xf>
    <xf numFmtId="0" fontId="7" fillId="3" borderId="0" xfId="0" applyFont="1" applyFill="1" applyAlignment="1">
      <alignment horizontal="left"/>
    </xf>
    <xf numFmtId="0" fontId="8" fillId="3" borderId="0" xfId="0" applyFont="1" applyFill="1"/>
    <xf numFmtId="0" fontId="9" fillId="2" borderId="0" xfId="0" applyFont="1" applyFill="1" applyAlignment="1">
      <alignment horizontal="left"/>
    </xf>
    <xf numFmtId="0" fontId="10" fillId="2" borderId="0" xfId="4" applyFont="1" applyFill="1"/>
    <xf numFmtId="0" fontId="11" fillId="2" borderId="0" xfId="0" applyFont="1" applyFill="1"/>
    <xf numFmtId="166" fontId="3" fillId="2" borderId="0" xfId="0" applyNumberFormat="1" applyFont="1" applyFill="1"/>
    <xf numFmtId="166" fontId="4" fillId="2" borderId="0" xfId="0" applyNumberFormat="1" applyFont="1" applyFill="1"/>
    <xf numFmtId="166" fontId="12" fillId="4" borderId="0" xfId="0" applyNumberFormat="1" applyFont="1" applyFill="1"/>
    <xf numFmtId="0" fontId="8" fillId="2" borderId="0" xfId="0" applyFont="1" applyFill="1"/>
    <xf numFmtId="166" fontId="5" fillId="2" borderId="2" xfId="0" applyNumberFormat="1" applyFont="1" applyFill="1" applyBorder="1"/>
    <xf numFmtId="166" fontId="5" fillId="2" borderId="2" xfId="0" applyNumberFormat="1" applyFont="1" applyFill="1" applyBorder="1" applyAlignment="1">
      <alignment horizontal="right" wrapText="1"/>
    </xf>
    <xf numFmtId="166" fontId="5" fillId="2" borderId="0" xfId="0" applyNumberFormat="1" applyFont="1" applyFill="1" applyAlignment="1">
      <alignment horizontal="right" wrapText="1"/>
    </xf>
    <xf numFmtId="166" fontId="5" fillId="5" borderId="2" xfId="0" applyNumberFormat="1" applyFont="1" applyFill="1" applyBorder="1" applyAlignment="1">
      <alignment horizontal="right" wrapText="1"/>
    </xf>
    <xf numFmtId="167" fontId="4" fillId="2" borderId="0" xfId="0" applyNumberFormat="1" applyFont="1" applyFill="1"/>
    <xf numFmtId="167" fontId="4" fillId="5" borderId="0" xfId="0" applyNumberFormat="1" applyFont="1" applyFill="1"/>
    <xf numFmtId="167" fontId="4" fillId="2" borderId="0" xfId="0" applyNumberFormat="1" applyFont="1" applyFill="1" applyAlignment="1">
      <alignment horizontal="right"/>
    </xf>
    <xf numFmtId="168" fontId="4" fillId="2" borderId="0" xfId="3" applyNumberFormat="1" applyFont="1" applyFill="1"/>
    <xf numFmtId="168" fontId="4" fillId="5" borderId="0" xfId="3" applyNumberFormat="1" applyFont="1" applyFill="1"/>
    <xf numFmtId="166" fontId="4" fillId="2" borderId="0" xfId="0" applyNumberFormat="1" applyFont="1" applyFill="1" applyAlignment="1">
      <alignment horizontal="left"/>
    </xf>
    <xf numFmtId="166" fontId="4" fillId="6" borderId="0" xfId="0" applyNumberFormat="1" applyFont="1" applyFill="1"/>
    <xf numFmtId="9" fontId="4" fillId="5" borderId="0" xfId="3" applyFont="1" applyFill="1"/>
    <xf numFmtId="9" fontId="4" fillId="2" borderId="0" xfId="3" applyFont="1" applyFill="1"/>
    <xf numFmtId="10" fontId="4" fillId="2" borderId="0" xfId="3" applyNumberFormat="1" applyFont="1" applyFill="1"/>
    <xf numFmtId="164" fontId="4" fillId="5" borderId="0" xfId="2" applyFont="1" applyFill="1"/>
    <xf numFmtId="167" fontId="4" fillId="5" borderId="0" xfId="3" applyNumberFormat="1" applyFont="1" applyFill="1"/>
    <xf numFmtId="164" fontId="4" fillId="2" borderId="0" xfId="2" applyFont="1" applyFill="1"/>
    <xf numFmtId="166" fontId="4" fillId="5" borderId="0" xfId="3" applyNumberFormat="1" applyFont="1" applyFill="1"/>
    <xf numFmtId="166" fontId="13" fillId="2" borderId="0" xfId="0" applyNumberFormat="1" applyFont="1" applyFill="1"/>
    <xf numFmtId="166" fontId="13" fillId="5" borderId="0" xfId="0" applyNumberFormat="1" applyFont="1" applyFill="1"/>
    <xf numFmtId="166" fontId="4" fillId="5" borderId="0" xfId="0" applyNumberFormat="1" applyFont="1" applyFill="1"/>
    <xf numFmtId="168" fontId="13" fillId="2" borderId="0" xfId="3" applyNumberFormat="1" applyFont="1" applyFill="1"/>
    <xf numFmtId="9" fontId="13" fillId="5" borderId="0" xfId="3" applyFont="1" applyFill="1"/>
    <xf numFmtId="169" fontId="4" fillId="5" borderId="0" xfId="0" applyNumberFormat="1" applyFont="1" applyFill="1"/>
    <xf numFmtId="10" fontId="13" fillId="5" borderId="0" xfId="3" applyNumberFormat="1" applyFont="1" applyFill="1"/>
    <xf numFmtId="166" fontId="4" fillId="0" borderId="0" xfId="0" applyNumberFormat="1" applyFont="1"/>
    <xf numFmtId="166" fontId="4" fillId="2" borderId="3" xfId="0" applyNumberFormat="1" applyFont="1" applyFill="1" applyBorder="1"/>
    <xf numFmtId="167" fontId="4" fillId="2" borderId="3" xfId="0" applyNumberFormat="1" applyFont="1" applyFill="1" applyBorder="1"/>
    <xf numFmtId="167" fontId="4" fillId="5" borderId="3" xfId="0" applyNumberFormat="1" applyFont="1" applyFill="1" applyBorder="1"/>
    <xf numFmtId="166" fontId="14" fillId="2" borderId="0" xfId="0" applyNumberFormat="1" applyFont="1" applyFill="1"/>
    <xf numFmtId="167" fontId="14" fillId="2" borderId="0" xfId="0" applyNumberFormat="1" applyFont="1" applyFill="1"/>
    <xf numFmtId="167" fontId="14" fillId="5" borderId="0" xfId="0" applyNumberFormat="1" applyFont="1" applyFill="1"/>
    <xf numFmtId="167" fontId="15" fillId="2" borderId="3" xfId="0" applyNumberFormat="1" applyFont="1" applyFill="1" applyBorder="1"/>
    <xf numFmtId="167" fontId="15" fillId="5" borderId="3" xfId="0" applyNumberFormat="1" applyFont="1" applyFill="1" applyBorder="1"/>
    <xf numFmtId="166" fontId="14" fillId="5" borderId="0" xfId="0" applyNumberFormat="1" applyFont="1" applyFill="1"/>
    <xf numFmtId="170" fontId="4" fillId="2" borderId="0" xfId="1" applyNumberFormat="1" applyFont="1" applyFill="1"/>
    <xf numFmtId="167" fontId="8" fillId="2" borderId="0" xfId="0" applyNumberFormat="1" applyFont="1" applyFill="1"/>
    <xf numFmtId="167" fontId="12" fillId="2" borderId="0" xfId="0" applyNumberFormat="1" applyFont="1" applyFill="1"/>
    <xf numFmtId="167" fontId="12" fillId="4" borderId="0" xfId="0" applyNumberFormat="1" applyFont="1" applyFill="1"/>
    <xf numFmtId="167" fontId="4" fillId="7" borderId="0" xfId="0" applyNumberFormat="1" applyFont="1" applyFill="1"/>
    <xf numFmtId="166" fontId="5" fillId="2" borderId="4" xfId="0" applyNumberFormat="1" applyFont="1" applyFill="1" applyBorder="1"/>
    <xf numFmtId="167" fontId="5" fillId="2" borderId="4" xfId="0" applyNumberFormat="1" applyFont="1" applyFill="1" applyBorder="1"/>
    <xf numFmtId="167" fontId="5" fillId="7" borderId="4" xfId="0" applyNumberFormat="1" applyFont="1" applyFill="1" applyBorder="1"/>
    <xf numFmtId="171" fontId="4" fillId="2" borderId="0" xfId="1" applyNumberFormat="1" applyFont="1" applyFill="1"/>
    <xf numFmtId="172" fontId="3" fillId="2" borderId="0" xfId="0" applyNumberFormat="1" applyFont="1" applyFill="1"/>
    <xf numFmtId="172" fontId="4" fillId="2" borderId="0" xfId="0" applyNumberFormat="1" applyFont="1" applyFill="1"/>
    <xf numFmtId="173" fontId="4" fillId="2" borderId="0" xfId="0" applyNumberFormat="1" applyFont="1" applyFill="1"/>
    <xf numFmtId="170" fontId="4" fillId="2" borderId="0" xfId="0" applyNumberFormat="1" applyFont="1" applyFill="1"/>
    <xf numFmtId="172" fontId="4" fillId="2" borderId="3" xfId="0" applyNumberFormat="1" applyFont="1" applyFill="1" applyBorder="1"/>
    <xf numFmtId="9" fontId="4" fillId="2" borderId="3" xfId="3" applyFont="1" applyFill="1" applyBorder="1"/>
    <xf numFmtId="166" fontId="5" fillId="2" borderId="0" xfId="0" applyNumberFormat="1" applyFont="1" applyFill="1"/>
    <xf numFmtId="167" fontId="16" fillId="2" borderId="0" xfId="0" applyNumberFormat="1" applyFont="1" applyFill="1"/>
    <xf numFmtId="173" fontId="4" fillId="2" borderId="3" xfId="0" applyNumberFormat="1" applyFont="1" applyFill="1" applyBorder="1"/>
    <xf numFmtId="172" fontId="16" fillId="2" borderId="0" xfId="0" applyNumberFormat="1" applyFont="1" applyFill="1"/>
    <xf numFmtId="173" fontId="14" fillId="2" borderId="0" xfId="0" applyNumberFormat="1" applyFont="1" applyFill="1"/>
    <xf numFmtId="167" fontId="5" fillId="2" borderId="0" xfId="0" applyNumberFormat="1" applyFont="1" applyFill="1"/>
    <xf numFmtId="172" fontId="17" fillId="2" borderId="0" xfId="0" applyNumberFormat="1" applyFont="1" applyFill="1"/>
    <xf numFmtId="172" fontId="17" fillId="2" borderId="3" xfId="0" applyNumberFormat="1" applyFont="1" applyFill="1" applyBorder="1"/>
    <xf numFmtId="172" fontId="14" fillId="2" borderId="0" xfId="0" applyNumberFormat="1" applyFont="1" applyFill="1"/>
    <xf numFmtId="172" fontId="12" fillId="4" borderId="0" xfId="0" applyNumberFormat="1" applyFont="1" applyFill="1"/>
    <xf numFmtId="173" fontId="12" fillId="4" borderId="0" xfId="0" applyNumberFormat="1" applyFont="1" applyFill="1"/>
    <xf numFmtId="167" fontId="9" fillId="2" borderId="0" xfId="0" applyNumberFormat="1" applyFont="1" applyFill="1"/>
    <xf numFmtId="0" fontId="9" fillId="2" borderId="0" xfId="1" applyNumberFormat="1" applyFont="1" applyFill="1"/>
    <xf numFmtId="0" fontId="9" fillId="2" borderId="0" xfId="0" applyFont="1" applyFill="1"/>
    <xf numFmtId="172" fontId="4" fillId="0" borderId="0" xfId="0" applyNumberFormat="1" applyFont="1"/>
    <xf numFmtId="9" fontId="4" fillId="2" borderId="0" xfId="3" applyFont="1" applyFill="1" applyAlignment="1">
      <alignment horizontal="right"/>
    </xf>
    <xf numFmtId="166" fontId="4" fillId="2" borderId="0" xfId="0" applyNumberFormat="1" applyFont="1" applyFill="1" applyAlignment="1">
      <alignment horizontal="right"/>
    </xf>
    <xf numFmtId="9" fontId="4" fillId="2" borderId="0" xfId="3" applyFont="1" applyFill="1" applyAlignment="1"/>
    <xf numFmtId="167" fontId="4" fillId="2" borderId="0" xfId="3" applyNumberFormat="1" applyFont="1" applyFill="1"/>
    <xf numFmtId="167" fontId="4" fillId="2" borderId="0" xfId="2" applyNumberFormat="1" applyFont="1" applyFill="1"/>
    <xf numFmtId="164" fontId="15" fillId="2" borderId="0" xfId="2" applyFont="1" applyFill="1"/>
    <xf numFmtId="170" fontId="4" fillId="5" borderId="0" xfId="1" applyNumberFormat="1" applyFont="1" applyFill="1"/>
    <xf numFmtId="170" fontId="4" fillId="7" borderId="0" xfId="1" applyNumberFormat="1" applyFont="1" applyFill="1"/>
    <xf numFmtId="0" fontId="15" fillId="2" borderId="5" xfId="0" applyFont="1" applyFill="1" applyBorder="1"/>
    <xf numFmtId="170" fontId="15" fillId="2" borderId="5" xfId="1" applyNumberFormat="1" applyFont="1" applyFill="1" applyBorder="1"/>
    <xf numFmtId="170" fontId="15" fillId="7" borderId="5" xfId="1" applyNumberFormat="1" applyFont="1" applyFill="1" applyBorder="1"/>
    <xf numFmtId="0" fontId="5" fillId="2" borderId="2" xfId="0" applyFont="1" applyFill="1" applyBorder="1"/>
    <xf numFmtId="0" fontId="4" fillId="2" borderId="2" xfId="0" applyFont="1" applyFill="1" applyBorder="1"/>
    <xf numFmtId="168" fontId="4" fillId="2" borderId="0" xfId="0" applyNumberFormat="1" applyFont="1" applyFill="1"/>
    <xf numFmtId="166" fontId="15" fillId="2" borderId="3" xfId="0" applyNumberFormat="1" applyFont="1" applyFill="1" applyBorder="1"/>
    <xf numFmtId="166" fontId="15" fillId="2" borderId="3" xfId="0" applyNumberFormat="1" applyFont="1" applyFill="1" applyBorder="1" applyAlignment="1">
      <alignment horizontal="right" wrapText="1"/>
    </xf>
    <xf numFmtId="174" fontId="4" fillId="2" borderId="0" xfId="0" applyNumberFormat="1" applyFont="1" applyFill="1"/>
    <xf numFmtId="166" fontId="15" fillId="2" borderId="5" xfId="0" applyNumberFormat="1" applyFont="1" applyFill="1" applyBorder="1"/>
    <xf numFmtId="167" fontId="15" fillId="2" borderId="5" xfId="0" applyNumberFormat="1" applyFont="1" applyFill="1" applyBorder="1"/>
    <xf numFmtId="166" fontId="15" fillId="2" borderId="6" xfId="0" applyNumberFormat="1" applyFont="1" applyFill="1" applyBorder="1"/>
    <xf numFmtId="167" fontId="15" fillId="2" borderId="6" xfId="0" applyNumberFormat="1" applyFont="1" applyFill="1" applyBorder="1"/>
    <xf numFmtId="166" fontId="4" fillId="2" borderId="6" xfId="0" applyNumberFormat="1" applyFont="1" applyFill="1" applyBorder="1"/>
    <xf numFmtId="167" fontId="4" fillId="2" borderId="6" xfId="0" applyNumberFormat="1" applyFont="1" applyFill="1" applyBorder="1"/>
    <xf numFmtId="166" fontId="15" fillId="2" borderId="0" xfId="0" applyNumberFormat="1" applyFont="1" applyFill="1"/>
    <xf numFmtId="166" fontId="15" fillId="2" borderId="2" xfId="0" applyNumberFormat="1" applyFont="1" applyFill="1" applyBorder="1"/>
    <xf numFmtId="166" fontId="15" fillId="2" borderId="2" xfId="0" applyNumberFormat="1" applyFont="1" applyFill="1" applyBorder="1" applyAlignment="1">
      <alignment horizontal="right" wrapText="1"/>
    </xf>
    <xf numFmtId="166" fontId="15" fillId="2" borderId="0" xfId="0" applyNumberFormat="1" applyFont="1" applyFill="1" applyAlignment="1">
      <alignment horizontal="right" wrapText="1"/>
    </xf>
    <xf numFmtId="166" fontId="15" fillId="2" borderId="2" xfId="0" applyNumberFormat="1" applyFont="1" applyFill="1" applyBorder="1" applyAlignment="1">
      <alignment wrapText="1"/>
    </xf>
    <xf numFmtId="167" fontId="15" fillId="2" borderId="0" xfId="0" applyNumberFormat="1" applyFont="1" applyFill="1"/>
    <xf numFmtId="0" fontId="15" fillId="2" borderId="0" xfId="6" applyFont="1" applyFill="1"/>
    <xf numFmtId="166" fontId="15" fillId="2" borderId="0" xfId="6" applyNumberFormat="1" applyFont="1" applyFill="1"/>
    <xf numFmtId="9" fontId="15" fillId="2" borderId="0" xfId="3" applyFont="1" applyFill="1"/>
    <xf numFmtId="10" fontId="15" fillId="2" borderId="0" xfId="3" applyNumberFormat="1" applyFont="1" applyFill="1"/>
    <xf numFmtId="174" fontId="4" fillId="2" borderId="3" xfId="0" applyNumberFormat="1" applyFont="1" applyFill="1" applyBorder="1"/>
    <xf numFmtId="167" fontId="4" fillId="2" borderId="0" xfId="0" applyNumberFormat="1" applyFont="1" applyFill="1" applyAlignment="1">
      <alignment horizontal="center"/>
    </xf>
    <xf numFmtId="166" fontId="4" fillId="2" borderId="0" xfId="0" applyNumberFormat="1" applyFont="1" applyFill="1" applyAlignment="1">
      <alignment horizontal="right"/>
    </xf>
  </cellXfs>
  <cellStyles count="7">
    <cellStyle name="Comma" xfId="1" builtinId="3"/>
    <cellStyle name="Currency" xfId="2" builtinId="4"/>
    <cellStyle name="Hyperlink" xfId="4" builtinId="8"/>
    <cellStyle name="Normal" xfId="0" builtinId="0"/>
    <cellStyle name="Normal_Project Accel Valuation v56" xfId="6" xr:uid="{2DDB238E-A6D3-4C11-B407-25D136CDC5FA}"/>
    <cellStyle name="Percent" xfId="3" builtinId="5"/>
    <cellStyle name="Smart Subtitle 1" xfId="5" xr:uid="{11CB6C9E-2572-4D0A-88ED-A45AA1D4217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02462192225972"/>
          <c:y val="0.10134316112040399"/>
          <c:w val="0.83810607207752874"/>
          <c:h val="0.7758419671225307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'Revenues&amp;Ebitda'!$B$4</c:f>
              <c:strCache>
                <c:ptCount val="1"/>
                <c:pt idx="0">
                  <c:v>Revenues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dPt>
            <c:idx val="4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1100-4D94-8F84-B583E965BB1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00-4D94-8F84-B583E965BB18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100-4D94-8F84-B583E965BB18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1100-4D94-8F84-B583E965BB18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1100-4D94-8F84-B583E965BB18}"/>
              </c:ext>
            </c:extLst>
          </c:dPt>
          <c:dLbls>
            <c:spPr>
              <a:solidFill>
                <a:schemeClr val="bg1">
                  <a:lumMod val="85000"/>
                </a:schemeClr>
              </a:solidFill>
            </c:spPr>
            <c:txPr>
              <a:bodyPr/>
              <a:lstStyle/>
              <a:p>
                <a:pPr>
                  <a:defRPr sz="7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'Revenues&amp;Ebitda'!$C$3:$K$3</c:f>
              <c:strCache>
                <c:ptCount val="9"/>
                <c:pt idx="0">
                  <c:v>2022
Actual </c:v>
                </c:pt>
                <c:pt idx="1">
                  <c:v>2023
Actual </c:v>
                </c:pt>
                <c:pt idx="2">
                  <c:v>2024
Actual </c:v>
                </c:pt>
                <c:pt idx="3">
                  <c:v> -  </c:v>
                </c:pt>
                <c:pt idx="4">
                  <c:v>2025
Forecast </c:v>
                </c:pt>
                <c:pt idx="5">
                  <c:v>2026
Forecast </c:v>
                </c:pt>
                <c:pt idx="6">
                  <c:v>2027
Forecast </c:v>
                </c:pt>
                <c:pt idx="7">
                  <c:v>2028
Forecast </c:v>
                </c:pt>
                <c:pt idx="8">
                  <c:v>2029
Forecast </c:v>
                </c:pt>
              </c:strCache>
            </c:strRef>
          </c:cat>
          <c:val>
            <c:numRef>
              <c:f>'Revenues&amp;Ebitda'!$C$4:$K$4</c:f>
              <c:numCache>
                <c:formatCode>_(* #\ ##0_);_(* \(#\ ##0\);_(* "-"??_);_(@_)</c:formatCode>
                <c:ptCount val="9"/>
                <c:pt idx="0">
                  <c:v>354406</c:v>
                </c:pt>
                <c:pt idx="1">
                  <c:v>377236</c:v>
                </c:pt>
                <c:pt idx="2">
                  <c:v>416732</c:v>
                </c:pt>
                <c:pt idx="4">
                  <c:v>458405.2</c:v>
                </c:pt>
                <c:pt idx="5">
                  <c:v>504245.72000000003</c:v>
                </c:pt>
                <c:pt idx="6">
                  <c:v>554670.29200000013</c:v>
                </c:pt>
                <c:pt idx="7">
                  <c:v>610137.32120000024</c:v>
                </c:pt>
                <c:pt idx="8">
                  <c:v>671151.0533200003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100-4D94-8F84-B583E965BB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04562048"/>
        <c:axId val="104576128"/>
      </c:barChart>
      <c:lineChart>
        <c:grouping val="standard"/>
        <c:varyColors val="0"/>
        <c:ser>
          <c:idx val="1"/>
          <c:order val="1"/>
          <c:tx>
            <c:strRef>
              <c:f>'Revenues&amp;Ebitda'!$B$6</c:f>
              <c:strCache>
                <c:ptCount val="1"/>
                <c:pt idx="0">
                  <c:v>EBITDA%</c:v>
                </c:pt>
              </c:strCache>
            </c:strRef>
          </c:tx>
          <c:marker>
            <c:symbol val="none"/>
          </c:marker>
          <c:dLbls>
            <c:spPr>
              <a:solidFill>
                <a:schemeClr val="accent2">
                  <a:lumMod val="60000"/>
                  <a:lumOff val="40000"/>
                </a:schemeClr>
              </a:solidFill>
            </c:spPr>
            <c:txPr>
              <a:bodyPr/>
              <a:lstStyle/>
              <a:p>
                <a:pPr>
                  <a:defRPr sz="7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'Revenues&amp;Ebitda'!$C$3:$K$3</c:f>
              <c:strCache>
                <c:ptCount val="9"/>
                <c:pt idx="0">
                  <c:v>2022
Actual </c:v>
                </c:pt>
                <c:pt idx="1">
                  <c:v>2023
Actual </c:v>
                </c:pt>
                <c:pt idx="2">
                  <c:v>2024
Actual </c:v>
                </c:pt>
                <c:pt idx="3">
                  <c:v> -  </c:v>
                </c:pt>
                <c:pt idx="4">
                  <c:v>2025
Forecast </c:v>
                </c:pt>
                <c:pt idx="5">
                  <c:v>2026
Forecast </c:v>
                </c:pt>
                <c:pt idx="6">
                  <c:v>2027
Forecast </c:v>
                </c:pt>
                <c:pt idx="7">
                  <c:v>2028
Forecast </c:v>
                </c:pt>
                <c:pt idx="8">
                  <c:v>2029
Forecast </c:v>
                </c:pt>
              </c:strCache>
            </c:strRef>
          </c:cat>
          <c:val>
            <c:numRef>
              <c:f>'Revenues&amp;Ebitda'!$C$6:$K$6</c:f>
              <c:numCache>
                <c:formatCode>0.0%</c:formatCode>
                <c:ptCount val="9"/>
                <c:pt idx="0">
                  <c:v>0.11465560590584246</c:v>
                </c:pt>
                <c:pt idx="1">
                  <c:v>0.11247036868167416</c:v>
                </c:pt>
                <c:pt idx="2">
                  <c:v>0.14186994795025579</c:v>
                </c:pt>
                <c:pt idx="4">
                  <c:v>0.15239231143102222</c:v>
                </c:pt>
                <c:pt idx="5">
                  <c:v>0.15126573766456555</c:v>
                </c:pt>
                <c:pt idx="6">
                  <c:v>0.15024157969505952</c:v>
                </c:pt>
                <c:pt idx="7">
                  <c:v>0.14931052699550862</c:v>
                </c:pt>
                <c:pt idx="8">
                  <c:v>0.1484641154504624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B-1100-4D94-8F84-B583E965BB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579840"/>
        <c:axId val="104578048"/>
      </c:lineChart>
      <c:catAx>
        <c:axId val="1045620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04576128"/>
        <c:crosses val="autoZero"/>
        <c:auto val="1"/>
        <c:lblAlgn val="ctr"/>
        <c:lblOffset val="100"/>
        <c:noMultiLvlLbl val="0"/>
      </c:catAx>
      <c:valAx>
        <c:axId val="104576128"/>
        <c:scaling>
          <c:orientation val="minMax"/>
          <c:max val="700000"/>
          <c:min val="0"/>
        </c:scaling>
        <c:delete val="0"/>
        <c:axPos val="l"/>
        <c:majorGridlines>
          <c:spPr>
            <a:ln>
              <a:solidFill>
                <a:schemeClr val="bg1">
                  <a:lumMod val="65000"/>
                  <a:alpha val="30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USD in thousand</a:t>
                </a:r>
              </a:p>
            </c:rich>
          </c:tx>
          <c:overlay val="0"/>
        </c:title>
        <c:numFmt formatCode="_(* #\ ##0_);_(* \(#\ ##0\);_(* &quot;-&quot;??_);_(@_)" sourceLinked="1"/>
        <c:majorTickMark val="out"/>
        <c:minorTickMark val="none"/>
        <c:tickLblPos val="nextTo"/>
        <c:spPr>
          <a:noFill/>
          <a:ln>
            <a:noFill/>
          </a:ln>
        </c:spPr>
        <c:crossAx val="104562048"/>
        <c:crosses val="autoZero"/>
        <c:crossBetween val="between"/>
        <c:majorUnit val="100000"/>
      </c:valAx>
      <c:valAx>
        <c:axId val="104578048"/>
        <c:scaling>
          <c:orientation val="minMax"/>
          <c:max val="0.2"/>
          <c:min val="5.000000000000001E-2"/>
        </c:scaling>
        <c:delete val="0"/>
        <c:axPos val="r"/>
        <c:numFmt formatCode="0.0%" sourceLinked="1"/>
        <c:majorTickMark val="out"/>
        <c:minorTickMark val="none"/>
        <c:tickLblPos val="nextTo"/>
        <c:crossAx val="104579840"/>
        <c:crosses val="max"/>
        <c:crossBetween val="between"/>
        <c:majorUnit val="5.000000000000001E-2"/>
      </c:valAx>
      <c:catAx>
        <c:axId val="1045798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4578048"/>
        <c:crosses val="autoZero"/>
        <c:auto val="1"/>
        <c:lblAlgn val="ctr"/>
        <c:lblOffset val="100"/>
        <c:noMultiLvlLbl val="0"/>
      </c:catAx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areaChart>
        <c:grouping val="standard"/>
        <c:varyColors val="0"/>
        <c:ser>
          <c:idx val="0"/>
          <c:order val="0"/>
          <c:tx>
            <c:strRef>
              <c:f>'Cash flows'!$B$4</c:f>
              <c:strCache>
                <c:ptCount val="1"/>
                <c:pt idx="0">
                  <c:v>UFCF </c:v>
                </c:pt>
              </c:strCache>
            </c:strRef>
          </c:tx>
          <c:spPr>
            <a:solidFill>
              <a:srgbClr val="002060"/>
            </a:solidFill>
          </c:spPr>
          <c:cat>
            <c:strRef>
              <c:f>'Cash flows'!$C$3:$G$3</c:f>
              <c:strCache>
                <c:ptCount val="5"/>
                <c:pt idx="0">
                  <c:v>2025
Forecast </c:v>
                </c:pt>
                <c:pt idx="1">
                  <c:v>2026
Forecast </c:v>
                </c:pt>
                <c:pt idx="2">
                  <c:v>2027
Forecast </c:v>
                </c:pt>
                <c:pt idx="3">
                  <c:v>2028
Forecast </c:v>
                </c:pt>
                <c:pt idx="4">
                  <c:v>2029
Forecast </c:v>
                </c:pt>
              </c:strCache>
            </c:strRef>
          </c:cat>
          <c:val>
            <c:numRef>
              <c:f>'Cash flows'!$C$4:$G$4</c:f>
              <c:numCache>
                <c:formatCode>_(* #\ ##0_);_(* \(#\ ##0\);_(* "-"?_);@_)</c:formatCode>
                <c:ptCount val="5"/>
                <c:pt idx="0">
                  <c:v>21798.193582879197</c:v>
                </c:pt>
                <c:pt idx="1">
                  <c:v>27710.736923367251</c:v>
                </c:pt>
                <c:pt idx="2">
                  <c:v>30015.993215703947</c:v>
                </c:pt>
                <c:pt idx="3">
                  <c:v>32551.775137274351</c:v>
                </c:pt>
                <c:pt idx="4">
                  <c:v>35341.135251001891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79-4662-B5DF-2CC4BBF77090}"/>
            </c:ext>
          </c:extLst>
        </c:ser>
        <c:ser>
          <c:idx val="1"/>
          <c:order val="1"/>
          <c:tx>
            <c:strRef>
              <c:f>'Cash flows'!$B$5</c:f>
              <c:strCache>
                <c:ptCount val="1"/>
                <c:pt idx="0">
                  <c:v>Present value of UFCF 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</c:spPr>
          <c:cat>
            <c:strRef>
              <c:f>'Cash flows'!$C$3:$G$3</c:f>
              <c:strCache>
                <c:ptCount val="5"/>
                <c:pt idx="0">
                  <c:v>2025
Forecast </c:v>
                </c:pt>
                <c:pt idx="1">
                  <c:v>2026
Forecast </c:v>
                </c:pt>
                <c:pt idx="2">
                  <c:v>2027
Forecast </c:v>
                </c:pt>
                <c:pt idx="3">
                  <c:v>2028
Forecast </c:v>
                </c:pt>
                <c:pt idx="4">
                  <c:v>2029
Forecast </c:v>
                </c:pt>
              </c:strCache>
            </c:strRef>
          </c:cat>
          <c:val>
            <c:numRef>
              <c:f>'Cash flows'!$C$5:$G$5</c:f>
              <c:numCache>
                <c:formatCode>_(* #\ ##0_);_(* \(#\ ##0\);_(* "-"?_);@_)</c:formatCode>
                <c:ptCount val="5"/>
                <c:pt idx="0">
                  <c:v>19816.539620799271</c:v>
                </c:pt>
                <c:pt idx="1">
                  <c:v>22901.435473857229</c:v>
                </c:pt>
                <c:pt idx="2">
                  <c:v>22551.459966719714</c:v>
                </c:pt>
                <c:pt idx="3">
                  <c:v>22233.300414776546</c:v>
                </c:pt>
                <c:pt idx="4">
                  <c:v>21944.064458464632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79-4662-B5DF-2CC4BBF770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945920"/>
        <c:axId val="104972288"/>
      </c:areaChart>
      <c:catAx>
        <c:axId val="1049459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04972288"/>
        <c:crosses val="autoZero"/>
        <c:auto val="1"/>
        <c:lblAlgn val="ctr"/>
        <c:lblOffset val="100"/>
        <c:noMultiLvlLbl val="0"/>
      </c:catAx>
      <c:valAx>
        <c:axId val="104972288"/>
        <c:scaling>
          <c:orientation val="minMax"/>
          <c:max val="40000"/>
          <c:min val="0"/>
        </c:scaling>
        <c:delete val="0"/>
        <c:axPos val="l"/>
        <c:majorGridlines>
          <c:spPr>
            <a:ln>
              <a:solidFill>
                <a:schemeClr val="bg1">
                  <a:lumMod val="65000"/>
                  <a:alpha val="28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b="0"/>
                  <a:t>USD in</a:t>
                </a:r>
                <a:r>
                  <a:rPr lang="en-US" b="0" baseline="0"/>
                  <a:t> thousand</a:t>
                </a:r>
                <a:endParaRPr lang="en-US" b="0"/>
              </a:p>
            </c:rich>
          </c:tx>
          <c:overlay val="0"/>
        </c:title>
        <c:numFmt formatCode="_(* #\ ##0_);_(* \(#\ ##0\);_(* &quot;-&quot;?_);@_)" sourceLinked="1"/>
        <c:majorTickMark val="out"/>
        <c:minorTickMark val="none"/>
        <c:tickLblPos val="nextTo"/>
        <c:crossAx val="104945920"/>
        <c:crosses val="autoZero"/>
        <c:crossBetween val="midCat"/>
        <c:majorUnit val="10000"/>
      </c:valAx>
    </c:plotArea>
    <c:legend>
      <c:legendPos val="b"/>
      <c:overlay val="0"/>
    </c:legend>
    <c:plotVisOnly val="1"/>
    <c:dispBlanksAs val="zero"/>
    <c:showDLblsOverMax val="0"/>
  </c:chart>
  <c:spPr>
    <a:noFill/>
    <a:ln>
      <a:noFill/>
    </a:ln>
  </c:spPr>
  <c:txPr>
    <a:bodyPr/>
    <a:lstStyle/>
    <a:p>
      <a:pPr>
        <a:defRPr sz="8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ndard"/>
        <c:varyColors val="0"/>
        <c:ser>
          <c:idx val="3"/>
          <c:order val="3"/>
          <c:tx>
            <c:strRef>
              <c:f>'Working capital'!$B$7</c:f>
              <c:strCache>
                <c:ptCount val="1"/>
                <c:pt idx="0">
                  <c:v>Working capital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val>
            <c:numRef>
              <c:f>'Working capital'!$C$7:$K$7</c:f>
              <c:numCache>
                <c:formatCode>_(* #\ ##0_);_(* \(#\ ##0\);_(* "-"??_);_(@_)</c:formatCode>
                <c:ptCount val="9"/>
                <c:pt idx="0">
                  <c:v>96319.200000000012</c:v>
                </c:pt>
                <c:pt idx="1">
                  <c:v>97202.400000000009</c:v>
                </c:pt>
                <c:pt idx="2">
                  <c:v>107208.00000000001</c:v>
                </c:pt>
                <c:pt idx="4">
                  <c:v>118045.68484632672</c:v>
                </c:pt>
                <c:pt idx="5">
                  <c:v>129850.25333095944</c:v>
                </c:pt>
                <c:pt idx="6">
                  <c:v>142835.2786640554</c:v>
                </c:pt>
                <c:pt idx="7">
                  <c:v>157118.80653046098</c:v>
                </c:pt>
                <c:pt idx="8">
                  <c:v>172830.68718350705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77-41AF-A62E-C14F49084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145088"/>
        <c:axId val="105142912"/>
      </c:areaChart>
      <c:barChart>
        <c:barDir val="col"/>
        <c:grouping val="clustered"/>
        <c:varyColors val="0"/>
        <c:ser>
          <c:idx val="0"/>
          <c:order val="0"/>
          <c:tx>
            <c:strRef>
              <c:f>'Working capital'!$B$9</c:f>
              <c:strCache>
                <c:ptCount val="1"/>
                <c:pt idx="0">
                  <c:v>Days Revenue 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'Working capital'!$C$3:$K$3</c:f>
              <c:strCache>
                <c:ptCount val="9"/>
                <c:pt idx="0">
                  <c:v>2022
Actual </c:v>
                </c:pt>
                <c:pt idx="1">
                  <c:v>2023
Actual </c:v>
                </c:pt>
                <c:pt idx="2">
                  <c:v>2024
Actual </c:v>
                </c:pt>
                <c:pt idx="4">
                  <c:v>2025
Forecast </c:v>
                </c:pt>
                <c:pt idx="5">
                  <c:v>2026
Forecast </c:v>
                </c:pt>
                <c:pt idx="6">
                  <c:v>2027
Forecast </c:v>
                </c:pt>
                <c:pt idx="7">
                  <c:v>2028
Forecast </c:v>
                </c:pt>
                <c:pt idx="8">
                  <c:v>2029
Forecast </c:v>
                </c:pt>
              </c:strCache>
            </c:strRef>
          </c:cat>
          <c:val>
            <c:numRef>
              <c:f>'Working capital'!$C$9:$K$9</c:f>
              <c:numCache>
                <c:formatCode>_(* #\ ##0_);_(* \(#\ ##0\);_(* "-"??_);_(@_)</c:formatCode>
                <c:ptCount val="9"/>
                <c:pt idx="0">
                  <c:v>66.805279820319072</c:v>
                </c:pt>
                <c:pt idx="1">
                  <c:v>73.588734903349632</c:v>
                </c:pt>
                <c:pt idx="2">
                  <c:v>75.297198199322338</c:v>
                </c:pt>
                <c:pt idx="3">
                  <c:v>0</c:v>
                </c:pt>
                <c:pt idx="4">
                  <c:v>75.297198199322338</c:v>
                </c:pt>
                <c:pt idx="5">
                  <c:v>75.297198199322338</c:v>
                </c:pt>
                <c:pt idx="6">
                  <c:v>75.297198199322338</c:v>
                </c:pt>
                <c:pt idx="7">
                  <c:v>75.297198199322338</c:v>
                </c:pt>
                <c:pt idx="8">
                  <c:v>75.297198199322338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77-41AF-A62E-C14F490842A7}"/>
            </c:ext>
          </c:extLst>
        </c:ser>
        <c:ser>
          <c:idx val="1"/>
          <c:order val="1"/>
          <c:tx>
            <c:strRef>
              <c:f>'Working capital'!$B$10</c:f>
              <c:strCache>
                <c:ptCount val="1"/>
                <c:pt idx="0">
                  <c:v>Days Inventory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'Working capital'!$C$3:$K$3</c:f>
              <c:strCache>
                <c:ptCount val="9"/>
                <c:pt idx="0">
                  <c:v>2022
Actual </c:v>
                </c:pt>
                <c:pt idx="1">
                  <c:v>2023
Actual </c:v>
                </c:pt>
                <c:pt idx="2">
                  <c:v>2024
Actual </c:v>
                </c:pt>
                <c:pt idx="4">
                  <c:v>2025
Forecast </c:v>
                </c:pt>
                <c:pt idx="5">
                  <c:v>2026
Forecast </c:v>
                </c:pt>
                <c:pt idx="6">
                  <c:v>2027
Forecast </c:v>
                </c:pt>
                <c:pt idx="7">
                  <c:v>2028
Forecast </c:v>
                </c:pt>
                <c:pt idx="8">
                  <c:v>2029
Forecast </c:v>
                </c:pt>
              </c:strCache>
            </c:strRef>
          </c:cat>
          <c:val>
            <c:numRef>
              <c:f>'Working capital'!$C$10:$K$10</c:f>
              <c:numCache>
                <c:formatCode>_(* #\ ##0_);_(* \(#\ ##0\);_(* "-"??_);_(@_)</c:formatCode>
                <c:ptCount val="9"/>
                <c:pt idx="0">
                  <c:v>78.796599890979024</c:v>
                </c:pt>
                <c:pt idx="1">
                  <c:v>87.020385727810066</c:v>
                </c:pt>
                <c:pt idx="2">
                  <c:v>105.61192646702818</c:v>
                </c:pt>
                <c:pt idx="3">
                  <c:v>0</c:v>
                </c:pt>
                <c:pt idx="4">
                  <c:v>105.61192646702818</c:v>
                </c:pt>
                <c:pt idx="5">
                  <c:v>105.61192646702818</c:v>
                </c:pt>
                <c:pt idx="6">
                  <c:v>105.61192646702818</c:v>
                </c:pt>
                <c:pt idx="7">
                  <c:v>105.61192646702818</c:v>
                </c:pt>
                <c:pt idx="8">
                  <c:v>105.61192646702818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77-41AF-A62E-C14F490842A7}"/>
            </c:ext>
          </c:extLst>
        </c:ser>
        <c:ser>
          <c:idx val="2"/>
          <c:order val="2"/>
          <c:tx>
            <c:strRef>
              <c:f>'Working capital'!$B$11</c:f>
              <c:strCache>
                <c:ptCount val="1"/>
                <c:pt idx="0">
                  <c:v>Days Payable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'Working capital'!$C$3:$K$3</c:f>
              <c:strCache>
                <c:ptCount val="9"/>
                <c:pt idx="0">
                  <c:v>2022
Actual </c:v>
                </c:pt>
                <c:pt idx="1">
                  <c:v>2023
Actual </c:v>
                </c:pt>
                <c:pt idx="2">
                  <c:v>2024
Actual </c:v>
                </c:pt>
                <c:pt idx="4">
                  <c:v>2025
Forecast </c:v>
                </c:pt>
                <c:pt idx="5">
                  <c:v>2026
Forecast </c:v>
                </c:pt>
                <c:pt idx="6">
                  <c:v>2027
Forecast </c:v>
                </c:pt>
                <c:pt idx="7">
                  <c:v>2028
Forecast </c:v>
                </c:pt>
                <c:pt idx="8">
                  <c:v>2029
Forecast </c:v>
                </c:pt>
              </c:strCache>
            </c:strRef>
          </c:cat>
          <c:val>
            <c:numRef>
              <c:f>'Working capital'!$C$11:$K$11</c:f>
              <c:numCache>
                <c:formatCode>_(* #\ ##0_);_(* \(#\ ##0\);_(* "-"??_);_(@_)</c:formatCode>
                <c:ptCount val="9"/>
                <c:pt idx="0">
                  <c:v>40.175971155173578</c:v>
                </c:pt>
                <c:pt idx="1">
                  <c:v>63.003516697758023</c:v>
                </c:pt>
                <c:pt idx="2">
                  <c:v>82.706945686643365</c:v>
                </c:pt>
                <c:pt idx="3">
                  <c:v>0</c:v>
                </c:pt>
                <c:pt idx="4">
                  <c:v>82.706945686643365</c:v>
                </c:pt>
                <c:pt idx="5">
                  <c:v>82.706945686643365</c:v>
                </c:pt>
                <c:pt idx="6">
                  <c:v>82.706945686643365</c:v>
                </c:pt>
                <c:pt idx="7">
                  <c:v>82.706945686643365</c:v>
                </c:pt>
                <c:pt idx="8">
                  <c:v>82.706945686643365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77-41AF-A62E-C14F49084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05126912"/>
        <c:axId val="105140992"/>
      </c:barChart>
      <c:catAx>
        <c:axId val="1051269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05140992"/>
        <c:crosses val="autoZero"/>
        <c:auto val="1"/>
        <c:lblAlgn val="ctr"/>
        <c:lblOffset val="100"/>
        <c:noMultiLvlLbl val="0"/>
      </c:catAx>
      <c:valAx>
        <c:axId val="105140992"/>
        <c:scaling>
          <c:orientation val="minMax"/>
          <c:max val="150"/>
          <c:min val="30"/>
        </c:scaling>
        <c:delete val="0"/>
        <c:axPos val="l"/>
        <c:majorGridlines>
          <c:spPr>
            <a:ln>
              <a:solidFill>
                <a:schemeClr val="bg1">
                  <a:lumMod val="65000"/>
                  <a:alpha val="34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days</a:t>
                </a:r>
              </a:p>
            </c:rich>
          </c:tx>
          <c:overlay val="0"/>
        </c:title>
        <c:numFmt formatCode="_(* #\ ##0_);_(* \(#\ ##0\);_(* &quot;-&quot;??_);_(@_)" sourceLinked="1"/>
        <c:majorTickMark val="out"/>
        <c:minorTickMark val="none"/>
        <c:tickLblPos val="nextTo"/>
        <c:crossAx val="105126912"/>
        <c:crosses val="autoZero"/>
        <c:crossBetween val="between"/>
        <c:majorUnit val="30"/>
      </c:valAx>
      <c:valAx>
        <c:axId val="105142912"/>
        <c:scaling>
          <c:orientation val="minMax"/>
          <c:min val="3000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b="0"/>
                  <a:t>USD in thousands</a:t>
                </a:r>
              </a:p>
            </c:rich>
          </c:tx>
          <c:overlay val="0"/>
        </c:title>
        <c:numFmt formatCode="_(* #\ ##0_);_(* \(#\ ##0\);_(* &quot;-&quot;??_);_(@_)" sourceLinked="1"/>
        <c:majorTickMark val="out"/>
        <c:minorTickMark val="none"/>
        <c:tickLblPos val="nextTo"/>
        <c:crossAx val="105145088"/>
        <c:crosses val="max"/>
        <c:crossBetween val="between"/>
        <c:majorUnit val="10000"/>
      </c:valAx>
      <c:catAx>
        <c:axId val="105145088"/>
        <c:scaling>
          <c:orientation val="minMax"/>
        </c:scaling>
        <c:delete val="1"/>
        <c:axPos val="b"/>
        <c:majorTickMark val="out"/>
        <c:minorTickMark val="none"/>
        <c:tickLblPos val="nextTo"/>
        <c:crossAx val="105142912"/>
        <c:crosses val="autoZero"/>
        <c:auto val="1"/>
        <c:lblAlgn val="ctr"/>
        <c:lblOffset val="100"/>
        <c:noMultiLvlLbl val="0"/>
      </c:catAx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baseline="0">
                <a:solidFill>
                  <a:srgbClr val="002060"/>
                </a:solidFill>
              </a:rPr>
              <a:t>Enterprise Value: Scenario 1</a:t>
            </a:r>
            <a:endParaRPr lang="en-US">
              <a:solidFill>
                <a:srgbClr val="002060"/>
              </a:solidFill>
            </a:endParaRPr>
          </a:p>
        </c:rich>
      </c:tx>
      <c:layout>
        <c:manualLayout>
          <c:xMode val="edge"/>
          <c:yMode val="edge"/>
          <c:x val="2.9312686889069208E-2"/>
          <c:y val="3.340294471944156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832203773971149"/>
          <c:y val="0.16827588202185131"/>
          <c:w val="0.47231870389460373"/>
          <c:h val="0.70798549558221946"/>
        </c:manualLayout>
      </c:layout>
      <c:doughnutChart>
        <c:varyColors val="1"/>
        <c:ser>
          <c:idx val="0"/>
          <c:order val="0"/>
          <c:dPt>
            <c:idx val="1"/>
            <c:bubble3D val="0"/>
            <c:spPr>
              <a:solidFill>
                <a:srgbClr val="002060"/>
              </a:solidFill>
            </c:spPr>
            <c:extLst>
              <c:ext xmlns:c16="http://schemas.microsoft.com/office/drawing/2014/chart" uri="{C3380CC4-5D6E-409C-BE32-E72D297353CC}">
                <c16:uniqueId val="{00000001-4054-49B4-A683-FC763D4C77B7}"/>
              </c:ext>
            </c:extLst>
          </c:dPt>
          <c:dLbls>
            <c:dLbl>
              <c:idx val="0"/>
              <c:layout>
                <c:manualLayout>
                  <c:x val="-1.4856081708449397E-2"/>
                  <c:y val="-3.88780468132187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54-49B4-A683-FC763D4C77B7}"/>
                </c:ext>
              </c:extLst>
            </c:dLbl>
            <c:dLbl>
              <c:idx val="1"/>
              <c:layout>
                <c:manualLayout>
                  <c:x val="3.9170181466448663E-2"/>
                  <c:y val="3.84168932981944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54-49B4-A683-FC763D4C77B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multiLvlStrRef>
              <c:f>'DCF results'!$B$6:$C$7</c:f>
              <c:multiLvlStrCache>
                <c:ptCount val="2"/>
                <c:lvl>
                  <c:pt idx="0">
                    <c:v>28,1%</c:v>
                  </c:pt>
                  <c:pt idx="1">
                    <c:v>71,9%</c:v>
                  </c:pt>
                </c:lvl>
                <c:lvl>
                  <c:pt idx="0">
                    <c:v>CFs in Forecast period</c:v>
                  </c:pt>
                  <c:pt idx="1">
                    <c:v>Terminal Value</c:v>
                  </c:pt>
                </c:lvl>
              </c:multiLvlStrCache>
            </c:multiLvlStrRef>
          </c:cat>
          <c:val>
            <c:numRef>
              <c:f>'DCF results'!$C$6:$C$7</c:f>
              <c:numCache>
                <c:formatCode>0.0%</c:formatCode>
                <c:ptCount val="2"/>
                <c:pt idx="0">
                  <c:v>0.28118536994336663</c:v>
                </c:pt>
                <c:pt idx="1">
                  <c:v>0.71881463005663337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54-49B4-A683-FC763D4C77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>
        <c:manualLayout>
          <c:xMode val="edge"/>
          <c:yMode val="edge"/>
          <c:x val="0.64373676235707755"/>
          <c:y val="0.36810746454991944"/>
          <c:w val="0.3322392211930919"/>
          <c:h val="0.26378507090016112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baseline="0">
                <a:solidFill>
                  <a:srgbClr val="002060"/>
                </a:solidFill>
              </a:rPr>
              <a:t>Enterprise Value: Scenario 2</a:t>
            </a:r>
            <a:endParaRPr lang="en-US">
              <a:solidFill>
                <a:srgbClr val="002060"/>
              </a:solidFill>
            </a:endParaRPr>
          </a:p>
        </c:rich>
      </c:tx>
      <c:layout>
        <c:manualLayout>
          <c:xMode val="edge"/>
          <c:yMode val="edge"/>
          <c:x val="2.9312686889069208E-2"/>
          <c:y val="3.340294471944156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832203773971149"/>
          <c:y val="0.16827588202185131"/>
          <c:w val="0.47231870389460373"/>
          <c:h val="0.70798549558221946"/>
        </c:manualLayout>
      </c:layout>
      <c:doughnutChart>
        <c:varyColors val="1"/>
        <c:ser>
          <c:idx val="0"/>
          <c:order val="0"/>
          <c:dPt>
            <c:idx val="1"/>
            <c:bubble3D val="0"/>
            <c:spPr>
              <a:solidFill>
                <a:srgbClr val="002060"/>
              </a:solidFill>
            </c:spPr>
            <c:extLst>
              <c:ext xmlns:c16="http://schemas.microsoft.com/office/drawing/2014/chart" uri="{C3380CC4-5D6E-409C-BE32-E72D297353CC}">
                <c16:uniqueId val="{00000001-F068-47D8-8886-9A585438166B}"/>
              </c:ext>
            </c:extLst>
          </c:dPt>
          <c:dLbls>
            <c:dLbl>
              <c:idx val="0"/>
              <c:layout>
                <c:manualLayout>
                  <c:x val="-1.4856081708449397E-2"/>
                  <c:y val="-3.88780468132187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68-47D8-8886-9A585438166B}"/>
                </c:ext>
              </c:extLst>
            </c:dLbl>
            <c:dLbl>
              <c:idx val="1"/>
              <c:layout>
                <c:manualLayout>
                  <c:x val="3.3426183844011144E-2"/>
                  <c:y val="3.2849735844954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68-47D8-8886-9A585438166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multiLvlStrRef>
              <c:f>'DCF results'!$G$6:$H$7</c:f>
              <c:multiLvlStrCache>
                <c:ptCount val="2"/>
                <c:lvl>
                  <c:pt idx="0">
                    <c:v>27,8%</c:v>
                  </c:pt>
                  <c:pt idx="1">
                    <c:v>72,2%</c:v>
                  </c:pt>
                </c:lvl>
                <c:lvl>
                  <c:pt idx="0">
                    <c:v>CFs in Forecast period</c:v>
                  </c:pt>
                  <c:pt idx="1">
                    <c:v>Terminal Value</c:v>
                  </c:pt>
                </c:lvl>
              </c:multiLvlStrCache>
            </c:multiLvlStrRef>
          </c:cat>
          <c:val>
            <c:numRef>
              <c:f>'DCF results'!$H$6:$H$7</c:f>
              <c:numCache>
                <c:formatCode>0.0%</c:formatCode>
                <c:ptCount val="2"/>
                <c:pt idx="0">
                  <c:v>0.27774035366924038</c:v>
                </c:pt>
                <c:pt idx="1">
                  <c:v>0.72225964633075956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68-47D8-8886-9A58543816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baseline="0">
                <a:solidFill>
                  <a:srgbClr val="002060"/>
                </a:solidFill>
              </a:rPr>
              <a:t>Enterprise Value: Scenario 3</a:t>
            </a:r>
            <a:endParaRPr lang="en-US">
              <a:solidFill>
                <a:srgbClr val="002060"/>
              </a:solidFill>
            </a:endParaRPr>
          </a:p>
        </c:rich>
      </c:tx>
      <c:layout>
        <c:manualLayout>
          <c:xMode val="edge"/>
          <c:yMode val="edge"/>
          <c:x val="2.9312686889069208E-2"/>
          <c:y val="3.340294471944156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832203773971149"/>
          <c:y val="0.16827588202185131"/>
          <c:w val="0.47231870389460373"/>
          <c:h val="0.70798549558221946"/>
        </c:manualLayout>
      </c:layout>
      <c:doughnutChart>
        <c:varyColors val="1"/>
        <c:ser>
          <c:idx val="0"/>
          <c:order val="0"/>
          <c:dPt>
            <c:idx val="1"/>
            <c:bubble3D val="0"/>
            <c:spPr>
              <a:solidFill>
                <a:srgbClr val="002060"/>
              </a:solidFill>
            </c:spPr>
            <c:extLst>
              <c:ext xmlns:c16="http://schemas.microsoft.com/office/drawing/2014/chart" uri="{C3380CC4-5D6E-409C-BE32-E72D297353CC}">
                <c16:uniqueId val="{00000001-7971-4740-A34A-33F72EBA9626}"/>
              </c:ext>
            </c:extLst>
          </c:dPt>
          <c:dLbls>
            <c:dLbl>
              <c:idx val="0"/>
              <c:layout>
                <c:manualLayout>
                  <c:x val="-1.4856081708449397E-2"/>
                  <c:y val="-3.88780468132187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971-4740-A34A-33F72EBA9626}"/>
                </c:ext>
              </c:extLst>
            </c:dLbl>
            <c:dLbl>
              <c:idx val="1"/>
              <c:layout>
                <c:manualLayout>
                  <c:x val="4.456824512534819E-2"/>
                  <c:y val="6.6252680564395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971-4740-A34A-33F72EBA962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'[2]DCF results'!$M$6:$M$7</c:f>
              <c:strCache>
                <c:ptCount val="2"/>
                <c:pt idx="0">
                  <c:v>CFs in Forecast period</c:v>
                </c:pt>
                <c:pt idx="1">
                  <c:v>Continuing Value</c:v>
                </c:pt>
              </c:strCache>
            </c:strRef>
          </c:cat>
          <c:val>
            <c:numRef>
              <c:f>'DCF results'!$N$6:$N$7</c:f>
              <c:numCache>
                <c:formatCode>0.0%</c:formatCode>
                <c:ptCount val="2"/>
                <c:pt idx="0">
                  <c:v>0.27826406300951212</c:v>
                </c:pt>
                <c:pt idx="1">
                  <c:v>0.72173593699048777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71-4740-A34A-33F72EBA9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533400</xdr:colOff>
      <xdr:row>2</xdr:row>
      <xdr:rowOff>29307</xdr:rowOff>
    </xdr:from>
    <xdr:to>
      <xdr:col>18</xdr:col>
      <xdr:colOff>615461</xdr:colOff>
      <xdr:row>9</xdr:row>
      <xdr:rowOff>93785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D42BC967-BC3A-4E22-99BA-CA6BD918054A}"/>
            </a:ext>
          </a:extLst>
        </xdr:cNvPr>
        <xdr:cNvSpPr/>
      </xdr:nvSpPr>
      <xdr:spPr>
        <a:xfrm>
          <a:off x="7315200" y="381732"/>
          <a:ext cx="4339736" cy="1188428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Days</a:t>
          </a:r>
          <a:r>
            <a:rPr lang="en-US" sz="1100" baseline="0"/>
            <a:t> Sales Outstanding (DSO) = (Trade Receivables/Revenues) x 360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Days Inventory Outstanding (DIO) = (Inventory/COGS) x 360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Days Payables Outstanding (DPO) = (Trade Payables/COGS) x 360</a:t>
          </a:r>
          <a:endParaRPr lang="en-US" sz="1100"/>
        </a:p>
      </xdr:txBody>
    </xdr: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0.18942</cdr:x>
      <cdr:y>0.4058</cdr:y>
    </cdr:from>
    <cdr:to>
      <cdr:x>0.48468</cdr:x>
      <cdr:y>0.55901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647701" y="933451"/>
          <a:ext cx="1009650" cy="3524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0.23491</cdr:x>
      <cdr:y>0.47321</cdr:y>
    </cdr:from>
    <cdr:to>
      <cdr:x>0.48747</cdr:x>
      <cdr:y>0.58177</cdr:y>
    </cdr:to>
    <cdr:sp macro="" textlink="">
      <cdr:nvSpPr>
        <cdr:cNvPr id="3" name="TextBox 4"/>
        <cdr:cNvSpPr txBox="1"/>
      </cdr:nvSpPr>
      <cdr:spPr>
        <a:xfrm xmlns:a="http://schemas.openxmlformats.org/drawingml/2006/main">
          <a:off x="803275" y="1079500"/>
          <a:ext cx="863601" cy="247649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bg1">
              <a:lumMod val="65000"/>
            </a:schemeClr>
          </a:solidFill>
        </a:ln>
        <a:effectLst xmlns:a="http://schemas.openxmlformats.org/drawingml/2006/main">
          <a:outerShdw blurRad="50800" dist="50800" dir="5400000" algn="ctr" rotWithShape="0">
            <a:srgbClr val="000000">
              <a:alpha val="24000"/>
            </a:srgbClr>
          </a:outerShdw>
        </a:effectLst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900" b="1">
              <a:latin typeface="Arial" pitchFamily="34" charset="0"/>
              <a:cs typeface="Arial" pitchFamily="34" charset="0"/>
            </a:rPr>
            <a:t>$124,306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0.18942</cdr:x>
      <cdr:y>0.4058</cdr:y>
    </cdr:from>
    <cdr:to>
      <cdr:x>0.48468</cdr:x>
      <cdr:y>0.55901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647701" y="933451"/>
          <a:ext cx="1009650" cy="3524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0.23491</cdr:x>
      <cdr:y>0.47321</cdr:y>
    </cdr:from>
    <cdr:to>
      <cdr:x>0.48747</cdr:x>
      <cdr:y>0.58177</cdr:y>
    </cdr:to>
    <cdr:sp macro="" textlink="">
      <cdr:nvSpPr>
        <cdr:cNvPr id="3" name="TextBox 4"/>
        <cdr:cNvSpPr txBox="1"/>
      </cdr:nvSpPr>
      <cdr:spPr>
        <a:xfrm xmlns:a="http://schemas.openxmlformats.org/drawingml/2006/main">
          <a:off x="803275" y="1079500"/>
          <a:ext cx="863601" cy="247649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bg1">
              <a:lumMod val="65000"/>
            </a:schemeClr>
          </a:solidFill>
        </a:ln>
        <a:effectLst xmlns:a="http://schemas.openxmlformats.org/drawingml/2006/main">
          <a:outerShdw blurRad="50800" dist="50800" dir="5400000" algn="ctr" rotWithShape="0">
            <a:srgbClr val="000000">
              <a:alpha val="24000"/>
            </a:srgbClr>
          </a:outerShdw>
        </a:effectLst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900" b="1">
              <a:latin typeface="Arial" pitchFamily="34" charset="0"/>
              <a:cs typeface="Arial" pitchFamily="34" charset="0"/>
            </a:rPr>
            <a:t>$91,771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298938</xdr:colOff>
      <xdr:row>5</xdr:row>
      <xdr:rowOff>79131</xdr:rowOff>
    </xdr:from>
    <xdr:to>
      <xdr:col>17</xdr:col>
      <xdr:colOff>298389</xdr:colOff>
      <xdr:row>7</xdr:row>
      <xdr:rowOff>86457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C04302-25E2-49D7-AB0C-8679B27F04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47638" y="888756"/>
          <a:ext cx="2437851" cy="474051"/>
        </a:xfrm>
        <a:prstGeom prst="rect">
          <a:avLst/>
        </a:prstGeom>
      </xdr:spPr>
    </xdr:pic>
    <xdr:clientData/>
  </xdr:twoCellAnchor>
  <xdr:twoCellAnchor editAs="oneCell">
    <xdr:from>
      <xdr:col>14</xdr:col>
      <xdr:colOff>273847</xdr:colOff>
      <xdr:row>9</xdr:row>
      <xdr:rowOff>32513</xdr:rowOff>
    </xdr:from>
    <xdr:to>
      <xdr:col>17</xdr:col>
      <xdr:colOff>266554</xdr:colOff>
      <xdr:row>12</xdr:row>
      <xdr:rowOff>25369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C5325B5-65A4-486E-81D8-C5BAAC91F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32147" y="1508888"/>
          <a:ext cx="1821507" cy="45005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371475</xdr:colOff>
      <xdr:row>7</xdr:row>
      <xdr:rowOff>9525</xdr:rowOff>
    </xdr:from>
    <xdr:to>
      <xdr:col>13</xdr:col>
      <xdr:colOff>533400</xdr:colOff>
      <xdr:row>43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9D165B1-B4C1-42EA-BD48-01FFF8EB95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0.49439</cdr:x>
      <cdr:y>0.02591</cdr:y>
    </cdr:from>
    <cdr:to>
      <cdr:x>0.93069</cdr:x>
      <cdr:y>0.09536</cdr:y>
    </cdr:to>
    <cdr:sp macro="" textlink="">
      <cdr:nvSpPr>
        <cdr:cNvPr id="4" name="TextBox 2"/>
        <cdr:cNvSpPr txBox="1"/>
      </cdr:nvSpPr>
      <cdr:spPr>
        <a:xfrm xmlns:a="http://schemas.openxmlformats.org/drawingml/2006/main">
          <a:off x="3955630" y="142875"/>
          <a:ext cx="3490836" cy="383015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1">
            <a:lumMod val="75000"/>
          </a:schemeClr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900" b="1">
              <a:solidFill>
                <a:schemeClr val="bg1"/>
              </a:solidFill>
              <a:latin typeface="Arial" pitchFamily="34" charset="0"/>
              <a:cs typeface="Arial" pitchFamily="34" charset="0"/>
            </a:rPr>
            <a:t>Forecast period</a:t>
          </a:r>
        </a:p>
      </cdr:txBody>
    </cdr:sp>
  </cdr:relSizeAnchor>
  <cdr:relSizeAnchor xmlns:cdr="http://schemas.openxmlformats.org/drawingml/2006/chartDrawing">
    <cdr:from>
      <cdr:x>0.12781</cdr:x>
      <cdr:y>0.02286</cdr:y>
    </cdr:from>
    <cdr:to>
      <cdr:x>0.38502</cdr:x>
      <cdr:y>0.09578</cdr:y>
    </cdr:to>
    <cdr:sp macro="" textlink="">
      <cdr:nvSpPr>
        <cdr:cNvPr id="5" name="TextBox 3"/>
        <cdr:cNvSpPr txBox="1"/>
      </cdr:nvSpPr>
      <cdr:spPr>
        <a:xfrm xmlns:a="http://schemas.openxmlformats.org/drawingml/2006/main">
          <a:off x="1012835" y="70333"/>
          <a:ext cx="2038338" cy="224344"/>
        </a:xfrm>
        <a:prstGeom xmlns:a="http://schemas.openxmlformats.org/drawingml/2006/main" prst="rect">
          <a:avLst/>
        </a:prstGeom>
        <a:solidFill xmlns:a="http://schemas.openxmlformats.org/drawingml/2006/main">
          <a:srgbClr val="002060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900" b="1">
              <a:solidFill>
                <a:schemeClr val="bg1"/>
              </a:solidFill>
              <a:latin typeface="Arial" pitchFamily="34" charset="0"/>
              <a:cs typeface="Arial" pitchFamily="34" charset="0"/>
            </a:rPr>
            <a:t>Historical figures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114300</xdr:rowOff>
    </xdr:from>
    <xdr:to>
      <xdr:col>11</xdr:col>
      <xdr:colOff>533400</xdr:colOff>
      <xdr:row>25</xdr:row>
      <xdr:rowOff>71437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3A624E9-371B-4BAC-8E6E-5A0468F878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523875</xdr:colOff>
      <xdr:row>14</xdr:row>
      <xdr:rowOff>47624</xdr:rowOff>
    </xdr:from>
    <xdr:to>
      <xdr:col>14</xdr:col>
      <xdr:colOff>390525</xdr:colOff>
      <xdr:row>39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320AA47-A260-4CD0-AA55-4CA4E7F411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0.4473</cdr:x>
      <cdr:y>0</cdr:y>
    </cdr:from>
    <cdr:to>
      <cdr:x>0.87688</cdr:x>
      <cdr:y>0.07583</cdr:y>
    </cdr:to>
    <cdr:sp macro="" textlink="">
      <cdr:nvSpPr>
        <cdr:cNvPr id="2" name="TextBox 2"/>
        <cdr:cNvSpPr txBox="1"/>
      </cdr:nvSpPr>
      <cdr:spPr>
        <a:xfrm xmlns:a="http://schemas.openxmlformats.org/drawingml/2006/main">
          <a:off x="3548994" y="0"/>
          <a:ext cx="3408427" cy="288191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1">
            <a:lumMod val="75000"/>
          </a:schemeClr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900" b="1">
              <a:solidFill>
                <a:schemeClr val="bg1"/>
              </a:solidFill>
              <a:latin typeface="Arial" pitchFamily="34" charset="0"/>
              <a:cs typeface="Arial" pitchFamily="34" charset="0"/>
            </a:rPr>
            <a:t>Forecast period</a:t>
          </a:r>
        </a:p>
      </cdr:txBody>
    </cdr:sp>
  </cdr:relSizeAnchor>
  <cdr:relSizeAnchor xmlns:cdr="http://schemas.openxmlformats.org/drawingml/2006/chartDrawing">
    <cdr:from>
      <cdr:x>0.104</cdr:x>
      <cdr:y>0</cdr:y>
    </cdr:from>
    <cdr:to>
      <cdr:x>0.36918</cdr:x>
      <cdr:y>0.0754</cdr:y>
    </cdr:to>
    <cdr:sp macro="" textlink="">
      <cdr:nvSpPr>
        <cdr:cNvPr id="3" name="TextBox 3"/>
        <cdr:cNvSpPr txBox="1"/>
      </cdr:nvSpPr>
      <cdr:spPr>
        <a:xfrm xmlns:a="http://schemas.openxmlformats.org/drawingml/2006/main">
          <a:off x="825140" y="0"/>
          <a:ext cx="2104024" cy="286556"/>
        </a:xfrm>
        <a:prstGeom xmlns:a="http://schemas.openxmlformats.org/drawingml/2006/main" prst="rect">
          <a:avLst/>
        </a:prstGeom>
        <a:solidFill xmlns:a="http://schemas.openxmlformats.org/drawingml/2006/main">
          <a:srgbClr val="002060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900" b="1">
              <a:solidFill>
                <a:schemeClr val="bg1"/>
              </a:solidFill>
              <a:latin typeface="Arial" pitchFamily="34" charset="0"/>
              <a:cs typeface="Arial" pitchFamily="34" charset="0"/>
            </a:rPr>
            <a:t>Historical figures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8</xdr:row>
      <xdr:rowOff>95250</xdr:rowOff>
    </xdr:from>
    <xdr:to>
      <xdr:col>5</xdr:col>
      <xdr:colOff>104776</xdr:colOff>
      <xdr:row>23</xdr:row>
      <xdr:rowOff>90486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3B2EC1D-373C-4815-8B57-C444B54B2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104776</xdr:colOff>
      <xdr:row>8</xdr:row>
      <xdr:rowOff>95250</xdr:rowOff>
    </xdr:from>
    <xdr:to>
      <xdr:col>10</xdr:col>
      <xdr:colOff>419101</xdr:colOff>
      <xdr:row>23</xdr:row>
      <xdr:rowOff>90486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9F46CD7-1BB9-41A8-93A7-26DE338F99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104776</xdr:colOff>
      <xdr:row>8</xdr:row>
      <xdr:rowOff>95250</xdr:rowOff>
    </xdr:from>
    <xdr:to>
      <xdr:col>16</xdr:col>
      <xdr:colOff>419101</xdr:colOff>
      <xdr:row>23</xdr:row>
      <xdr:rowOff>90486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40A0C0D-9844-4F8B-950E-B70A288E53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0.18942</cdr:x>
      <cdr:y>0.4058</cdr:y>
    </cdr:from>
    <cdr:to>
      <cdr:x>0.48468</cdr:x>
      <cdr:y>0.55901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647701" y="933451"/>
          <a:ext cx="1009650" cy="3524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0.23491</cdr:x>
      <cdr:y>0.47321</cdr:y>
    </cdr:from>
    <cdr:to>
      <cdr:x>0.48747</cdr:x>
      <cdr:y>0.58177</cdr:y>
    </cdr:to>
    <cdr:sp macro="" textlink="">
      <cdr:nvSpPr>
        <cdr:cNvPr id="3" name="TextBox 4"/>
        <cdr:cNvSpPr txBox="1"/>
      </cdr:nvSpPr>
      <cdr:spPr>
        <a:xfrm xmlns:a="http://schemas.openxmlformats.org/drawingml/2006/main">
          <a:off x="803275" y="1079500"/>
          <a:ext cx="863601" cy="247649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bg1">
              <a:lumMod val="65000"/>
            </a:schemeClr>
          </a:solidFill>
        </a:ln>
        <a:effectLst xmlns:a="http://schemas.openxmlformats.org/drawingml/2006/main">
          <a:outerShdw blurRad="50800" dist="50800" dir="5400000" algn="ctr" rotWithShape="0">
            <a:srgbClr val="000000">
              <a:alpha val="24000"/>
            </a:srgbClr>
          </a:outerShdw>
        </a:effectLst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900" b="1">
              <a:latin typeface="Arial" pitchFamily="34" charset="0"/>
              <a:cs typeface="Arial" pitchFamily="34" charset="0"/>
            </a:rPr>
            <a:t>$389,234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kelly/Downloads/30.+Charts%20(2).xlsm" TargetMode="External"/><Relationship Id="rId1" Type="http://schemas.openxmlformats.org/officeDocument/2006/relationships/externalLinkPath" Target="file:///C:/Users/kelly/Downloads/30.+Charts%20(2)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New/Desktop/Courses/Video%20creating/Excel/4)%20DCF%20Valuation/DCF%20Valuati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ex"/>
      <sheetName val="1.Input --&gt;"/>
      <sheetName val="P&amp;L assumptions"/>
      <sheetName val="BS assumptions"/>
      <sheetName val="2.Output--&gt;"/>
      <sheetName val="P&amp;L"/>
      <sheetName val="BS"/>
      <sheetName val="Cash Flow"/>
      <sheetName val="DCF valuation"/>
      <sheetName val="3.Charts  --&gt;"/>
      <sheetName val="Revenues&amp;Ebitda"/>
      <sheetName val="Cash flows"/>
      <sheetName val="Ebitda bridge"/>
      <sheetName val="Working capital"/>
      <sheetName val="DCF results"/>
      <sheetName val="4.Sources --&gt;"/>
      <sheetName val="P&amp;L source"/>
      <sheetName val="BS source"/>
    </sheetNames>
    <sheetDataSet>
      <sheetData sheetId="0"/>
      <sheetData sheetId="1"/>
      <sheetData sheetId="2"/>
      <sheetData sheetId="3"/>
      <sheetData sheetId="4"/>
      <sheetData sheetId="5">
        <row r="3">
          <cell r="B3" t="str">
            <v>$ in thousands</v>
          </cell>
        </row>
        <row r="4">
          <cell r="B4" t="str">
            <v>Revenues</v>
          </cell>
        </row>
      </sheetData>
      <sheetData sheetId="6">
        <row r="3">
          <cell r="B3" t="str">
            <v>$ in thousands</v>
          </cell>
        </row>
        <row r="8">
          <cell r="B8" t="str">
            <v>Inventory</v>
          </cell>
        </row>
        <row r="9">
          <cell r="B9" t="str">
            <v>Trade receivable</v>
          </cell>
        </row>
        <row r="16">
          <cell r="B16" t="str">
            <v>Trade payable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1.Input --&gt;"/>
      <sheetName val="P&amp;L assumptions"/>
      <sheetName val="BS assumptions"/>
      <sheetName val="2. Output --&gt;"/>
      <sheetName val="P&amp;L"/>
      <sheetName val="BS"/>
      <sheetName val="Cash Flow"/>
      <sheetName val="DCF valuation"/>
      <sheetName val="3.Charts --&gt;"/>
      <sheetName val="Revenues&amp;Ebitda"/>
      <sheetName val="Cash flows"/>
      <sheetName val="Ebitda bridge"/>
      <sheetName val="Working capital"/>
      <sheetName val="DCF results"/>
      <sheetName val="Sources --&gt;"/>
      <sheetName val="P&amp;L source"/>
      <sheetName val="BS sour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">
          <cell r="K4" t="str">
            <v>EBITDA FY13</v>
          </cell>
        </row>
      </sheetData>
      <sheetData sheetId="13">
        <row r="3">
          <cell r="C3" t="str">
            <v>FY11
Actual</v>
          </cell>
        </row>
      </sheetData>
      <sheetData sheetId="14">
        <row r="6">
          <cell r="B6" t="str">
            <v>CFs in Forecast period</v>
          </cell>
          <cell r="M6" t="str">
            <v>CFs in Forecast period</v>
          </cell>
        </row>
        <row r="7">
          <cell r="M7" t="str">
            <v>Continuing Value</v>
          </cell>
        </row>
      </sheetData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405AE-0B3E-4729-929F-4EB6848944F8}">
  <sheetPr>
    <tabColor rgb="FF002060"/>
  </sheetPr>
  <dimension ref="B1:C21"/>
  <sheetViews>
    <sheetView zoomScale="130" zoomScaleNormal="130" workbookViewId="0">
      <pane xSplit="3" ySplit="4" topLeftCell="D5" activePane="bottomRight" state="frozen"/>
      <selection activeCell="C21" sqref="C21"/>
      <selection pane="topRight" activeCell="C21" sqref="C21"/>
      <selection pane="bottomLeft" activeCell="C21" sqref="C21"/>
      <selection pane="bottomRight" activeCell="E24" sqref="E24"/>
    </sheetView>
  </sheetViews>
  <sheetFormatPr baseColWidth="10" defaultColWidth="9.1640625" defaultRowHeight="12" x14ac:dyDescent="0.15"/>
  <cols>
    <col min="1" max="1" width="2" style="2" customWidth="1"/>
    <col min="2" max="2" width="10" style="2" customWidth="1"/>
    <col min="3" max="3" width="26" style="2" customWidth="1"/>
    <col min="4" max="16384" width="9.1640625" style="2"/>
  </cols>
  <sheetData>
    <row r="1" spans="2:3" ht="16" x14ac:dyDescent="0.2">
      <c r="B1" s="1" t="s">
        <v>0</v>
      </c>
    </row>
    <row r="2" spans="2:3" x14ac:dyDescent="0.15">
      <c r="B2" s="3" t="s">
        <v>1</v>
      </c>
    </row>
    <row r="4" spans="2:3" ht="15" thickBot="1" x14ac:dyDescent="0.25">
      <c r="B4" s="4" t="s">
        <v>2</v>
      </c>
      <c r="C4" s="4" t="s">
        <v>3</v>
      </c>
    </row>
    <row r="5" spans="2:3" x14ac:dyDescent="0.15">
      <c r="B5" s="5">
        <v>1</v>
      </c>
      <c r="C5" s="6" t="s">
        <v>4</v>
      </c>
    </row>
    <row r="6" spans="2:3" x14ac:dyDescent="0.15">
      <c r="B6" s="7">
        <f>B5+1</f>
        <v>2</v>
      </c>
      <c r="C6" s="8" t="s">
        <v>5</v>
      </c>
    </row>
    <row r="7" spans="2:3" x14ac:dyDescent="0.15">
      <c r="B7" s="7">
        <f t="shared" ref="B7:B21" si="0">B6+1</f>
        <v>3</v>
      </c>
      <c r="C7" s="8" t="s">
        <v>6</v>
      </c>
    </row>
    <row r="8" spans="2:3" x14ac:dyDescent="0.15">
      <c r="B8" s="5">
        <f t="shared" si="0"/>
        <v>4</v>
      </c>
      <c r="C8" s="6" t="s">
        <v>7</v>
      </c>
    </row>
    <row r="9" spans="2:3" x14ac:dyDescent="0.15">
      <c r="B9" s="7">
        <f t="shared" si="0"/>
        <v>5</v>
      </c>
      <c r="C9" s="8" t="s">
        <v>8</v>
      </c>
    </row>
    <row r="10" spans="2:3" x14ac:dyDescent="0.15">
      <c r="B10" s="7">
        <f t="shared" si="0"/>
        <v>6</v>
      </c>
      <c r="C10" s="8" t="s">
        <v>9</v>
      </c>
    </row>
    <row r="11" spans="2:3" x14ac:dyDescent="0.15">
      <c r="B11" s="7">
        <f t="shared" si="0"/>
        <v>7</v>
      </c>
      <c r="C11" s="8" t="s">
        <v>10</v>
      </c>
    </row>
    <row r="12" spans="2:3" x14ac:dyDescent="0.15">
      <c r="B12" s="7">
        <f t="shared" si="0"/>
        <v>8</v>
      </c>
      <c r="C12" s="8" t="s">
        <v>11</v>
      </c>
    </row>
    <row r="13" spans="2:3" x14ac:dyDescent="0.15">
      <c r="B13" s="5">
        <f t="shared" si="0"/>
        <v>9</v>
      </c>
      <c r="C13" s="6" t="s">
        <v>12</v>
      </c>
    </row>
    <row r="14" spans="2:3" x14ac:dyDescent="0.15">
      <c r="B14" s="7">
        <f t="shared" si="0"/>
        <v>10</v>
      </c>
      <c r="C14" s="8" t="s">
        <v>13</v>
      </c>
    </row>
    <row r="15" spans="2:3" x14ac:dyDescent="0.15">
      <c r="B15" s="7">
        <f t="shared" si="0"/>
        <v>11</v>
      </c>
      <c r="C15" s="8" t="s">
        <v>14</v>
      </c>
    </row>
    <row r="16" spans="2:3" x14ac:dyDescent="0.15">
      <c r="B16" s="7">
        <f t="shared" si="0"/>
        <v>12</v>
      </c>
      <c r="C16" s="8" t="s">
        <v>15</v>
      </c>
    </row>
    <row r="17" spans="2:3" x14ac:dyDescent="0.15">
      <c r="B17" s="7">
        <f t="shared" si="0"/>
        <v>13</v>
      </c>
      <c r="C17" s="8" t="s">
        <v>16</v>
      </c>
    </row>
    <row r="18" spans="2:3" x14ac:dyDescent="0.15">
      <c r="B18" s="7">
        <f t="shared" si="0"/>
        <v>14</v>
      </c>
      <c r="C18" s="8" t="s">
        <v>17</v>
      </c>
    </row>
    <row r="19" spans="2:3" x14ac:dyDescent="0.15">
      <c r="B19" s="5">
        <f t="shared" si="0"/>
        <v>15</v>
      </c>
      <c r="C19" s="6" t="s">
        <v>18</v>
      </c>
    </row>
    <row r="20" spans="2:3" x14ac:dyDescent="0.15">
      <c r="B20" s="7">
        <f t="shared" si="0"/>
        <v>16</v>
      </c>
      <c r="C20" s="8" t="s">
        <v>19</v>
      </c>
    </row>
    <row r="21" spans="2:3" x14ac:dyDescent="0.15">
      <c r="B21" s="7">
        <f t="shared" si="0"/>
        <v>17</v>
      </c>
      <c r="C21" s="8" t="s">
        <v>20</v>
      </c>
    </row>
  </sheetData>
  <hyperlinks>
    <hyperlink ref="C6" location="'P&amp;L assumptions'!A1" display="P&amp;L assumptions" xr:uid="{7C6AAB88-59EB-48E3-AAA4-97466BE2484E}"/>
    <hyperlink ref="C7" location="'BS assumptions'!A1" display="BS assumptions" xr:uid="{04817346-0982-4ED9-BE72-0A2DFBA6204B}"/>
    <hyperlink ref="C9" location="'P&amp;L'!A1" display="P&amp;L" xr:uid="{83089DB5-7ADD-4DF0-AB9B-EEFEC2758F34}"/>
    <hyperlink ref="C10" location="BS!A1" display="BS" xr:uid="{E9EDF283-AE98-4577-9E29-7AD0B6EC3EA8}"/>
    <hyperlink ref="C11" location="'Cash Flow'!A1" display="Cash Flow" xr:uid="{A080B649-33C1-4578-8E51-DF868064B41B}"/>
    <hyperlink ref="C12" location="'DCF valuation'!A1" display="DCF valuation" xr:uid="{BB2E5B40-66F1-4F6C-BEA9-79D29AEEC1A7}"/>
    <hyperlink ref="C14" location="'Revenues&amp;Ebitda'!A1" display="Revenue&amp;Ebitda" xr:uid="{4C4663C1-DCCD-4561-9798-5D3C55A9EB21}"/>
    <hyperlink ref="C15" location="'Cash flows'!A1" display="Cash flows" xr:uid="{E210781E-660A-4018-9F84-9A7AA1BF5733}"/>
    <hyperlink ref="C16" location="'Ebitda bridge'!A1" display="Ebitda bridge" xr:uid="{E371A327-B952-4D2F-99A4-BB9DE956E31F}"/>
    <hyperlink ref="C17" location="'Working capital'!A1" display="Working capital" xr:uid="{98466DAD-C245-4616-AA2C-4F8ED6AF8927}"/>
    <hyperlink ref="C18" location="'DCF results'!A1" display="DCF results" xr:uid="{D15BC1CA-86E8-4F3A-836E-A2BC6DE1CFDF}"/>
    <hyperlink ref="C20" location="'P&amp;L source'!A1" display="P&amp;L source" xr:uid="{2CD34CCE-24CD-4923-99D6-7D74A1D8ED04}"/>
    <hyperlink ref="C21" location="'BS source'!A1" display="BS source" xr:uid="{2D288D46-D99E-45ED-A33C-C6E50D5E9A6B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B407E-2EA4-4A93-BF4E-AF5A5F42EAEE}">
  <sheetPr>
    <tabColor rgb="FF002060"/>
  </sheetPr>
  <dimension ref="B1:B11"/>
  <sheetViews>
    <sheetView zoomScale="130" zoomScaleNormal="130" workbookViewId="0">
      <selection activeCell="C21" sqref="C21"/>
    </sheetView>
  </sheetViews>
  <sheetFormatPr baseColWidth="10" defaultColWidth="9.1640625" defaultRowHeight="12" x14ac:dyDescent="0.15"/>
  <cols>
    <col min="1" max="1" width="2" style="2" customWidth="1"/>
    <col min="2" max="16384" width="9.1640625" style="2"/>
  </cols>
  <sheetData>
    <row r="1" spans="2:2" ht="16" x14ac:dyDescent="0.2">
      <c r="B1" s="1"/>
    </row>
    <row r="11" spans="2:2" ht="40" x14ac:dyDescent="0.4">
      <c r="B11" s="9" t="s">
        <v>12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1B265-38C3-4DB1-8EC7-E391B2B8F65C}">
  <dimension ref="B1:K6"/>
  <sheetViews>
    <sheetView topLeftCell="A4" zoomScale="130" zoomScaleNormal="130" workbookViewId="0">
      <selection activeCell="C21" sqref="C21"/>
    </sheetView>
  </sheetViews>
  <sheetFormatPr baseColWidth="10" defaultColWidth="9.1640625" defaultRowHeight="12" x14ac:dyDescent="0.15"/>
  <cols>
    <col min="1" max="1" width="2" style="2" customWidth="1"/>
    <col min="2" max="2" width="24.1640625" style="2" bestFit="1" customWidth="1"/>
    <col min="3" max="5" width="9.1640625" style="2"/>
    <col min="6" max="6" width="2" style="2" customWidth="1"/>
    <col min="7" max="16384" width="9.1640625" style="2"/>
  </cols>
  <sheetData>
    <row r="1" spans="2:11" ht="16" x14ac:dyDescent="0.2">
      <c r="B1" s="1" t="s">
        <v>106</v>
      </c>
    </row>
    <row r="3" spans="2:11" ht="27" thickBot="1" x14ac:dyDescent="0.2">
      <c r="B3" s="14" t="str">
        <f>'[1]P&amp;L'!B3</f>
        <v>$ in thousands</v>
      </c>
      <c r="C3" s="15" t="str">
        <f>IS!C3</f>
        <v>2022
Actual</v>
      </c>
      <c r="D3" s="15" t="str">
        <f>IS!D3</f>
        <v>2023
Actual</v>
      </c>
      <c r="E3" s="15" t="str">
        <f>IS!E3</f>
        <v>2024
Actual</v>
      </c>
      <c r="F3" s="15">
        <f>IS!F3</f>
        <v>0</v>
      </c>
      <c r="G3" s="15" t="str">
        <f>IS!G3</f>
        <v>2025
Forecast</v>
      </c>
      <c r="H3" s="15" t="str">
        <f>IS!H3</f>
        <v>2026
Forecast</v>
      </c>
      <c r="I3" s="15" t="str">
        <f>IS!I3</f>
        <v>2027
Forecast</v>
      </c>
      <c r="J3" s="15" t="str">
        <f>IS!J3</f>
        <v>2028
Forecast</v>
      </c>
      <c r="K3" s="15" t="str">
        <f>IS!K3</f>
        <v>2029
Forecast</v>
      </c>
    </row>
    <row r="4" spans="2:11" x14ac:dyDescent="0.15">
      <c r="B4" s="2" t="str">
        <f>'[1]P&amp;L'!B4</f>
        <v>Revenues</v>
      </c>
      <c r="C4" s="49">
        <f>IS!C4</f>
        <v>354406</v>
      </c>
      <c r="D4" s="49">
        <f>IS!D4</f>
        <v>377236</v>
      </c>
      <c r="E4" s="49">
        <f>IS!E4</f>
        <v>416732</v>
      </c>
      <c r="F4" s="49"/>
      <c r="G4" s="85">
        <f>IS!G4</f>
        <v>458405.2</v>
      </c>
      <c r="H4" s="85">
        <f>IS!H4</f>
        <v>504245.72000000003</v>
      </c>
      <c r="I4" s="85">
        <f>IS!I4</f>
        <v>554670.29200000013</v>
      </c>
      <c r="J4" s="85">
        <f>IS!J4</f>
        <v>610137.32120000024</v>
      </c>
      <c r="K4" s="85">
        <f>IS!K4</f>
        <v>671151.0533200003</v>
      </c>
    </row>
    <row r="5" spans="2:11" x14ac:dyDescent="0.15">
      <c r="B5" s="2" t="s">
        <v>63</v>
      </c>
      <c r="C5" s="49">
        <f>IS!C12</f>
        <v>40634.634666666003</v>
      </c>
      <c r="D5" s="49">
        <f>IS!D12</f>
        <v>42427.872000000032</v>
      </c>
      <c r="E5" s="49">
        <f>IS!E12</f>
        <v>59121.747149205999</v>
      </c>
      <c r="F5" s="49"/>
      <c r="G5" s="85">
        <f>IS!G12</f>
        <v>69857.428000000029</v>
      </c>
      <c r="H5" s="85">
        <f>IS!H12</f>
        <v>76275.100799999986</v>
      </c>
      <c r="I5" s="85">
        <f>IS!I12</f>
        <v>83334.540879999957</v>
      </c>
      <c r="J5" s="85">
        <f>IS!J12</f>
        <v>91099.924967999948</v>
      </c>
      <c r="K5" s="85">
        <f>IS!K12</f>
        <v>99641.847464799968</v>
      </c>
    </row>
    <row r="6" spans="2:11" x14ac:dyDescent="0.15">
      <c r="B6" s="2" t="s">
        <v>107</v>
      </c>
      <c r="C6" s="21">
        <f>C5/C4</f>
        <v>0.11465560590584246</v>
      </c>
      <c r="D6" s="21">
        <f>D5/D4</f>
        <v>0.11247036868167416</v>
      </c>
      <c r="E6" s="21">
        <f>E5/E4</f>
        <v>0.14186994795025579</v>
      </c>
      <c r="F6" s="21"/>
      <c r="G6" s="22">
        <f>G5/G4</f>
        <v>0.15239231143102222</v>
      </c>
      <c r="H6" s="22">
        <f>H5/H4</f>
        <v>0.15126573766456555</v>
      </c>
      <c r="I6" s="22">
        <f>I5/I4</f>
        <v>0.15024157969505952</v>
      </c>
      <c r="J6" s="22">
        <f>J5/J4</f>
        <v>0.14931052699550862</v>
      </c>
      <c r="K6" s="22">
        <f>K5/K4</f>
        <v>0.1484641154504624</v>
      </c>
    </row>
  </sheetData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57525-E067-4F7B-80EF-97645F195298}">
  <dimension ref="B1:G5"/>
  <sheetViews>
    <sheetView zoomScale="115" zoomScaleNormal="115" workbookViewId="0">
      <selection activeCell="C21" sqref="C21"/>
    </sheetView>
  </sheetViews>
  <sheetFormatPr baseColWidth="10" defaultColWidth="9.1640625" defaultRowHeight="12" x14ac:dyDescent="0.15"/>
  <cols>
    <col min="1" max="1" width="2" style="2" customWidth="1"/>
    <col min="2" max="2" width="19.5" style="2" bestFit="1" customWidth="1"/>
    <col min="3" max="16384" width="9.1640625" style="2"/>
  </cols>
  <sheetData>
    <row r="1" spans="2:7" ht="16" x14ac:dyDescent="0.2">
      <c r="B1" s="1" t="s">
        <v>14</v>
      </c>
    </row>
    <row r="3" spans="2:7" ht="27" thickBot="1" x14ac:dyDescent="0.2">
      <c r="B3" s="14" t="s">
        <v>27</v>
      </c>
      <c r="C3" s="17" t="str">
        <f>'DCF valuation'!G7</f>
        <v>2025
Forecast</v>
      </c>
      <c r="D3" s="17" t="str">
        <f>'DCF valuation'!H7</f>
        <v>2026
Forecast</v>
      </c>
      <c r="E3" s="17" t="str">
        <f>'DCF valuation'!I7</f>
        <v>2027
Forecast</v>
      </c>
      <c r="F3" s="17" t="str">
        <f>'DCF valuation'!J7</f>
        <v>2028
Forecast</v>
      </c>
      <c r="G3" s="17" t="str">
        <f>'DCF valuation'!K7</f>
        <v>2029
Forecast</v>
      </c>
    </row>
    <row r="4" spans="2:7" x14ac:dyDescent="0.15">
      <c r="B4" s="11" t="s">
        <v>87</v>
      </c>
      <c r="C4" s="19">
        <f>'DCF valuation'!G8</f>
        <v>21798.193582879197</v>
      </c>
      <c r="D4" s="19">
        <f>'DCF valuation'!H8</f>
        <v>27710.736923367251</v>
      </c>
      <c r="E4" s="19">
        <f>'DCF valuation'!I8</f>
        <v>30015.993215703947</v>
      </c>
      <c r="F4" s="19">
        <f>'DCF valuation'!J8</f>
        <v>32551.775137274351</v>
      </c>
      <c r="G4" s="19">
        <f>'DCF valuation'!K8</f>
        <v>35341.135251001891</v>
      </c>
    </row>
    <row r="5" spans="2:7" x14ac:dyDescent="0.15">
      <c r="B5" s="11" t="s">
        <v>108</v>
      </c>
      <c r="C5" s="19">
        <f>'DCF valuation'!G11</f>
        <v>19816.539620799271</v>
      </c>
      <c r="D5" s="19">
        <f>'DCF valuation'!H11</f>
        <v>22901.435473857229</v>
      </c>
      <c r="E5" s="19">
        <f>'DCF valuation'!I11</f>
        <v>22551.459966719714</v>
      </c>
      <c r="F5" s="19">
        <f>'DCF valuation'!J11</f>
        <v>22233.300414776546</v>
      </c>
      <c r="G5" s="19">
        <f>'DCF valuation'!K11</f>
        <v>21944.064458464632</v>
      </c>
    </row>
  </sheetData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8943A-CDD9-4588-8CA3-0822BDC372C8}">
  <dimension ref="B1:K11"/>
  <sheetViews>
    <sheetView workbookViewId="0">
      <selection activeCell="C21" sqref="C21"/>
    </sheetView>
  </sheetViews>
  <sheetFormatPr baseColWidth="10" defaultColWidth="9.1640625" defaultRowHeight="12" x14ac:dyDescent="0.15"/>
  <cols>
    <col min="1" max="1" width="2" style="2" customWidth="1"/>
    <col min="2" max="2" width="18.5" style="2" bestFit="1" customWidth="1"/>
    <col min="3" max="5" width="9.1640625" style="2"/>
    <col min="6" max="6" width="2" style="2" customWidth="1"/>
    <col min="7" max="16384" width="9.1640625" style="2"/>
  </cols>
  <sheetData>
    <row r="1" spans="2:11" ht="16" x14ac:dyDescent="0.2">
      <c r="B1" s="1" t="s">
        <v>16</v>
      </c>
    </row>
    <row r="3" spans="2:11" ht="27" thickBot="1" x14ac:dyDescent="0.2">
      <c r="B3" s="14" t="str">
        <f>[1]BS!B3</f>
        <v>$ in thousands</v>
      </c>
      <c r="C3" s="15" t="str">
        <f>BS!C3</f>
        <v>2022
Actual</v>
      </c>
      <c r="D3" s="15" t="str">
        <f>BS!D3</f>
        <v>2023
Actual</v>
      </c>
      <c r="E3" s="15" t="str">
        <f>BS!E3</f>
        <v>2024
Actual</v>
      </c>
      <c r="F3" s="15"/>
      <c r="G3" s="15" t="str">
        <f>BS!G3</f>
        <v>2025
Forecast</v>
      </c>
      <c r="H3" s="15" t="str">
        <f>BS!H3</f>
        <v>2026
Forecast</v>
      </c>
      <c r="I3" s="15" t="str">
        <f>BS!I3</f>
        <v>2027
Forecast</v>
      </c>
      <c r="J3" s="15" t="str">
        <f>BS!J3</f>
        <v>2028
Forecast</v>
      </c>
      <c r="K3" s="15" t="str">
        <f>BS!K3</f>
        <v>2029
Forecast</v>
      </c>
    </row>
    <row r="4" spans="2:11" x14ac:dyDescent="0.15">
      <c r="B4" s="59" t="str">
        <f>[1]BS!B8</f>
        <v>Inventory</v>
      </c>
      <c r="C4" s="49">
        <f>BS!C8</f>
        <v>62334.400000000001</v>
      </c>
      <c r="D4" s="49">
        <f>BS!D8</f>
        <v>72793.600000000006</v>
      </c>
      <c r="E4" s="49">
        <f>BS!E8</f>
        <v>92424</v>
      </c>
      <c r="F4" s="49">
        <f>BS!F8</f>
        <v>0</v>
      </c>
      <c r="G4" s="86">
        <f>BS!G8</f>
        <v>102205.34102395151</v>
      </c>
      <c r="H4" s="86">
        <f>BS!H8</f>
        <v>112425.87512634668</v>
      </c>
      <c r="I4" s="86">
        <f>BS!I8</f>
        <v>123668.46263898138</v>
      </c>
      <c r="J4" s="86">
        <f>BS!J8</f>
        <v>136035.30890287954</v>
      </c>
      <c r="K4" s="86">
        <f>BS!K8</f>
        <v>149638.83979316748</v>
      </c>
    </row>
    <row r="5" spans="2:11" x14ac:dyDescent="0.15">
      <c r="B5" s="2" t="str">
        <f>[1]BS!B9</f>
        <v>Trade receivable</v>
      </c>
      <c r="C5" s="49">
        <f>BS!C9</f>
        <v>65767.199999999997</v>
      </c>
      <c r="D5" s="49">
        <f>BS!D9</f>
        <v>77112</v>
      </c>
      <c r="E5" s="49">
        <f>BS!E9</f>
        <v>87163.199999999997</v>
      </c>
      <c r="F5" s="49">
        <f>BS!F9</f>
        <v>0</v>
      </c>
      <c r="G5" s="86">
        <f>BS!G9</f>
        <v>95879.51999999999</v>
      </c>
      <c r="H5" s="86">
        <f>BS!H9</f>
        <v>105467.47200000001</v>
      </c>
      <c r="I5" s="86">
        <f>BS!I9</f>
        <v>116014.21920000002</v>
      </c>
      <c r="J5" s="86">
        <f>BS!J9</f>
        <v>127615.64112000004</v>
      </c>
      <c r="K5" s="86">
        <f>BS!K9</f>
        <v>140377.20523200004</v>
      </c>
    </row>
    <row r="6" spans="2:11" x14ac:dyDescent="0.15">
      <c r="B6" s="2" t="str">
        <f>[1]BS!B16</f>
        <v>Trade payable</v>
      </c>
      <c r="C6" s="49">
        <f>BS!C16</f>
        <v>31782.400000000001</v>
      </c>
      <c r="D6" s="49">
        <f>BS!D16</f>
        <v>52703.199999999997</v>
      </c>
      <c r="E6" s="49">
        <f>BS!E16</f>
        <v>72379.199999999997</v>
      </c>
      <c r="F6" s="49">
        <f>BS!F16</f>
        <v>0</v>
      </c>
      <c r="G6" s="86">
        <f>BS!G16</f>
        <v>80039.176177624773</v>
      </c>
      <c r="H6" s="86">
        <f>BS!H16</f>
        <v>88043.093795387249</v>
      </c>
      <c r="I6" s="86">
        <f>BS!I16</f>
        <v>96847.403174925988</v>
      </c>
      <c r="J6" s="86">
        <f>BS!J16</f>
        <v>106532.1434924186</v>
      </c>
      <c r="K6" s="86">
        <f>BS!K16</f>
        <v>117185.35784166047</v>
      </c>
    </row>
    <row r="7" spans="2:11" x14ac:dyDescent="0.15">
      <c r="B7" s="87" t="s">
        <v>16</v>
      </c>
      <c r="C7" s="88">
        <f>C4+C5-C6</f>
        <v>96319.200000000012</v>
      </c>
      <c r="D7" s="88">
        <f>D4+D5-D6</f>
        <v>97202.400000000009</v>
      </c>
      <c r="E7" s="88">
        <f>E4+E5-E6</f>
        <v>107208.00000000001</v>
      </c>
      <c r="F7" s="88"/>
      <c r="G7" s="89">
        <f>G4+G5-G6</f>
        <v>118045.68484632672</v>
      </c>
      <c r="H7" s="89">
        <f>H4+H5-H6</f>
        <v>129850.25333095944</v>
      </c>
      <c r="I7" s="89">
        <f>I4+I5-I6</f>
        <v>142835.2786640554</v>
      </c>
      <c r="J7" s="89">
        <f>J4+J5-J6</f>
        <v>157118.80653046098</v>
      </c>
      <c r="K7" s="89">
        <f>K4+K5-K6</f>
        <v>172830.68718350705</v>
      </c>
    </row>
    <row r="9" spans="2:11" x14ac:dyDescent="0.15">
      <c r="B9" s="59" t="str">
        <f>'BS assumptions'!B6</f>
        <v>Days Revenue</v>
      </c>
      <c r="C9" s="49">
        <f>'BS assumptions'!C6</f>
        <v>66.805279820319072</v>
      </c>
      <c r="D9" s="49">
        <f>'BS assumptions'!D6</f>
        <v>73.588734903349632</v>
      </c>
      <c r="E9" s="49">
        <f>'BS assumptions'!E6</f>
        <v>75.297198199322338</v>
      </c>
      <c r="F9" s="49">
        <f>'BS assumptions'!F6</f>
        <v>0</v>
      </c>
      <c r="G9" s="86">
        <f>'BS assumptions'!G6</f>
        <v>75.297198199322338</v>
      </c>
      <c r="H9" s="86">
        <f>'BS assumptions'!H6</f>
        <v>75.297198199322338</v>
      </c>
      <c r="I9" s="86">
        <f>'BS assumptions'!I6</f>
        <v>75.297198199322338</v>
      </c>
      <c r="J9" s="86">
        <f>'BS assumptions'!J6</f>
        <v>75.297198199322338</v>
      </c>
      <c r="K9" s="86">
        <f>'BS assumptions'!K6</f>
        <v>75.297198199322338</v>
      </c>
    </row>
    <row r="10" spans="2:11" x14ac:dyDescent="0.15">
      <c r="B10" s="2" t="str">
        <f>'BS assumptions'!B9</f>
        <v>Days Inventory</v>
      </c>
      <c r="C10" s="49">
        <f>'BS assumptions'!C9</f>
        <v>78.796599890979024</v>
      </c>
      <c r="D10" s="49">
        <f>'BS assumptions'!D9</f>
        <v>87.020385727810066</v>
      </c>
      <c r="E10" s="49">
        <f>'BS assumptions'!E9</f>
        <v>105.61192646702818</v>
      </c>
      <c r="F10" s="49">
        <f>'BS assumptions'!F9</f>
        <v>0</v>
      </c>
      <c r="G10" s="86">
        <f>'BS assumptions'!G9</f>
        <v>105.61192646702818</v>
      </c>
      <c r="H10" s="86">
        <f>'BS assumptions'!H9</f>
        <v>105.61192646702818</v>
      </c>
      <c r="I10" s="86">
        <f>'BS assumptions'!I9</f>
        <v>105.61192646702818</v>
      </c>
      <c r="J10" s="86">
        <f>'BS assumptions'!J9</f>
        <v>105.61192646702818</v>
      </c>
      <c r="K10" s="86">
        <f>'BS assumptions'!K9</f>
        <v>105.61192646702818</v>
      </c>
    </row>
    <row r="11" spans="2:11" x14ac:dyDescent="0.15">
      <c r="B11" s="2" t="str">
        <f>'BS assumptions'!B12</f>
        <v>Days Payable</v>
      </c>
      <c r="C11" s="49">
        <f>'BS assumptions'!C12</f>
        <v>40.175971155173578</v>
      </c>
      <c r="D11" s="49">
        <f>'BS assumptions'!D12</f>
        <v>63.003516697758023</v>
      </c>
      <c r="E11" s="49">
        <f>'BS assumptions'!E12</f>
        <v>82.706945686643365</v>
      </c>
      <c r="F11" s="49">
        <f>'BS assumptions'!F12</f>
        <v>0</v>
      </c>
      <c r="G11" s="86">
        <f>'BS assumptions'!G12</f>
        <v>82.706945686643365</v>
      </c>
      <c r="H11" s="86">
        <f>'BS assumptions'!H12</f>
        <v>82.706945686643365</v>
      </c>
      <c r="I11" s="86">
        <f>'BS assumptions'!I12</f>
        <v>82.706945686643365</v>
      </c>
      <c r="J11" s="86">
        <f>'BS assumptions'!J12</f>
        <v>82.706945686643365</v>
      </c>
      <c r="K11" s="86">
        <f>'BS assumptions'!K12</f>
        <v>82.706945686643365</v>
      </c>
    </row>
  </sheetData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33882-9B6C-4E22-9352-FE6E1E0235B3}">
  <dimension ref="B1:N7"/>
  <sheetViews>
    <sheetView workbookViewId="0">
      <selection activeCell="C21" sqref="C21"/>
    </sheetView>
  </sheetViews>
  <sheetFormatPr baseColWidth="10" defaultColWidth="9.1640625" defaultRowHeight="12" x14ac:dyDescent="0.15"/>
  <cols>
    <col min="1" max="1" width="2" style="2" customWidth="1"/>
    <col min="2" max="2" width="19.1640625" style="2" bestFit="1" customWidth="1"/>
    <col min="3" max="6" width="9.1640625" style="2"/>
    <col min="7" max="7" width="19.1640625" style="2" bestFit="1" customWidth="1"/>
    <col min="8" max="12" width="9.1640625" style="2"/>
    <col min="13" max="13" width="19.1640625" style="2" bestFit="1" customWidth="1"/>
    <col min="14" max="16384" width="9.1640625" style="2"/>
  </cols>
  <sheetData>
    <row r="1" spans="2:14" ht="16" x14ac:dyDescent="0.2">
      <c r="B1" s="1" t="s">
        <v>17</v>
      </c>
    </row>
    <row r="4" spans="2:14" ht="13" thickBot="1" x14ac:dyDescent="0.2">
      <c r="B4" s="90" t="s">
        <v>38</v>
      </c>
      <c r="C4" s="91"/>
      <c r="G4" s="90" t="s">
        <v>39</v>
      </c>
      <c r="H4" s="91"/>
      <c r="M4" s="90" t="s">
        <v>40</v>
      </c>
      <c r="N4" s="91"/>
    </row>
    <row r="5" spans="2:14" x14ac:dyDescent="0.15">
      <c r="B5" s="2" t="s">
        <v>105</v>
      </c>
      <c r="C5" s="61">
        <v>389233.62178004149</v>
      </c>
      <c r="G5" s="2" t="s">
        <v>105</v>
      </c>
      <c r="H5" s="61">
        <v>124306.41283814155</v>
      </c>
      <c r="M5" s="2" t="s">
        <v>105</v>
      </c>
      <c r="N5" s="61">
        <v>91770.50356676607</v>
      </c>
    </row>
    <row r="6" spans="2:14" x14ac:dyDescent="0.15">
      <c r="B6" s="2" t="s">
        <v>109</v>
      </c>
      <c r="C6" s="21">
        <v>0.28118536994336663</v>
      </c>
      <c r="G6" s="2" t="s">
        <v>109</v>
      </c>
      <c r="H6" s="92">
        <v>0.27774035366924038</v>
      </c>
      <c r="M6" s="2" t="s">
        <v>109</v>
      </c>
      <c r="N6" s="92">
        <v>0.27826406300951212</v>
      </c>
    </row>
    <row r="7" spans="2:14" x14ac:dyDescent="0.15">
      <c r="B7" s="2" t="s">
        <v>103</v>
      </c>
      <c r="C7" s="21">
        <v>0.71881463005663337</v>
      </c>
      <c r="G7" s="2" t="s">
        <v>103</v>
      </c>
      <c r="H7" s="92">
        <v>0.72225964633075956</v>
      </c>
      <c r="M7" s="2" t="s">
        <v>103</v>
      </c>
      <c r="N7" s="92">
        <v>0.72173593699048777</v>
      </c>
    </row>
  </sheetData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03BF0-1864-4B77-8EB8-57316B2832FD}">
  <sheetPr>
    <tabColor rgb="FF002060"/>
  </sheetPr>
  <dimension ref="B1:B11"/>
  <sheetViews>
    <sheetView zoomScale="130" zoomScaleNormal="130" workbookViewId="0">
      <selection activeCell="C21" sqref="C21"/>
    </sheetView>
  </sheetViews>
  <sheetFormatPr baseColWidth="10" defaultColWidth="9.1640625" defaultRowHeight="12" x14ac:dyDescent="0.15"/>
  <cols>
    <col min="1" max="1" width="2" style="2" customWidth="1"/>
    <col min="2" max="16384" width="9.1640625" style="2"/>
  </cols>
  <sheetData>
    <row r="1" spans="2:2" ht="16" x14ac:dyDescent="0.2">
      <c r="B1" s="1"/>
    </row>
    <row r="11" spans="2:2" ht="40" x14ac:dyDescent="0.4">
      <c r="B11" s="9" t="s">
        <v>110</v>
      </c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F5723-E632-4A83-ACE1-7DF74C9F3A78}">
  <dimension ref="B1:M46"/>
  <sheetViews>
    <sheetView topLeftCell="A11" zoomScale="130" zoomScaleNormal="130" workbookViewId="0">
      <selection activeCell="C21" sqref="C21"/>
    </sheetView>
  </sheetViews>
  <sheetFormatPr baseColWidth="10" defaultColWidth="9.1640625" defaultRowHeight="12" x14ac:dyDescent="0.15"/>
  <cols>
    <col min="1" max="1" width="2" style="11" customWidth="1"/>
    <col min="2" max="2" width="27.83203125" style="11" bestFit="1" customWidth="1"/>
    <col min="3" max="3" width="9.1640625" style="11"/>
    <col min="4" max="6" width="10.5" style="11" bestFit="1" customWidth="1"/>
    <col min="7" max="8" width="9.1640625" style="11"/>
    <col min="9" max="10" width="10.33203125" style="11" bestFit="1" customWidth="1"/>
    <col min="11" max="16384" width="9.1640625" style="11"/>
  </cols>
  <sheetData>
    <row r="1" spans="2:13" ht="16" x14ac:dyDescent="0.2">
      <c r="B1" s="10" t="s">
        <v>111</v>
      </c>
    </row>
    <row r="3" spans="2:13" ht="26" x14ac:dyDescent="0.15">
      <c r="B3" s="93" t="s">
        <v>112</v>
      </c>
      <c r="C3" s="93"/>
      <c r="D3" s="94" t="s">
        <v>113</v>
      </c>
      <c r="E3" s="94" t="s">
        <v>114</v>
      </c>
      <c r="F3" s="94" t="s">
        <v>115</v>
      </c>
    </row>
    <row r="4" spans="2:13" x14ac:dyDescent="0.15">
      <c r="B4" s="11" t="s">
        <v>116</v>
      </c>
      <c r="D4" s="18">
        <v>354406</v>
      </c>
      <c r="E4" s="18">
        <v>377236</v>
      </c>
      <c r="F4" s="18">
        <v>416732</v>
      </c>
    </row>
    <row r="5" spans="2:13" x14ac:dyDescent="0.15">
      <c r="B5" s="11" t="s">
        <v>117</v>
      </c>
      <c r="D5" s="18">
        <v>7040</v>
      </c>
      <c r="E5" s="18">
        <v>4832</v>
      </c>
      <c r="F5" s="18">
        <v>5170</v>
      </c>
      <c r="J5" s="95"/>
      <c r="K5" s="95"/>
      <c r="L5" s="95"/>
      <c r="M5" s="95"/>
    </row>
    <row r="6" spans="2:13" x14ac:dyDescent="0.15">
      <c r="B6" s="96" t="s">
        <v>118</v>
      </c>
      <c r="C6" s="96"/>
      <c r="D6" s="97">
        <v>361446</v>
      </c>
      <c r="E6" s="97">
        <v>382068</v>
      </c>
      <c r="F6" s="97">
        <v>421902</v>
      </c>
    </row>
    <row r="7" spans="2:13" x14ac:dyDescent="0.15">
      <c r="D7" s="18"/>
      <c r="E7" s="18"/>
      <c r="F7" s="18"/>
    </row>
    <row r="8" spans="2:13" x14ac:dyDescent="0.15">
      <c r="B8" s="11" t="s">
        <v>119</v>
      </c>
      <c r="D8" s="18">
        <v>-279806.07893333398</v>
      </c>
      <c r="E8" s="18">
        <v>-277845.97759999998</v>
      </c>
      <c r="F8" s="18">
        <v>-300160.93765079399</v>
      </c>
    </row>
    <row r="9" spans="2:13" x14ac:dyDescent="0.15">
      <c r="B9" s="11" t="s">
        <v>120</v>
      </c>
      <c r="D9" s="18">
        <v>-4982.6559999999999</v>
      </c>
      <c r="E9" s="18">
        <v>-23298.355200000002</v>
      </c>
      <c r="F9" s="18">
        <v>-14885.299199999999</v>
      </c>
    </row>
    <row r="10" spans="2:13" x14ac:dyDescent="0.15">
      <c r="B10" s="11" t="s">
        <v>121</v>
      </c>
      <c r="D10" s="18">
        <v>-32779.1872</v>
      </c>
      <c r="E10" s="18">
        <v>-35756.620799999997</v>
      </c>
      <c r="F10" s="18">
        <v>-44586.624000000003</v>
      </c>
    </row>
    <row r="11" spans="2:13" x14ac:dyDescent="0.15">
      <c r="B11" s="11" t="s">
        <v>122</v>
      </c>
      <c r="D11" s="18">
        <v>-581.45280000000002</v>
      </c>
      <c r="E11" s="18">
        <v>-492.26240000000001</v>
      </c>
      <c r="F11" s="18">
        <v>-241.8432</v>
      </c>
    </row>
    <row r="12" spans="2:13" x14ac:dyDescent="0.15">
      <c r="B12" s="11" t="s">
        <v>123</v>
      </c>
      <c r="D12" s="18">
        <v>-2661.9904000000001</v>
      </c>
      <c r="E12" s="18">
        <v>-2246.9119999999998</v>
      </c>
      <c r="F12" s="18">
        <v>-2905.5488</v>
      </c>
    </row>
    <row r="13" spans="2:13" x14ac:dyDescent="0.15">
      <c r="D13" s="18"/>
      <c r="E13" s="18"/>
      <c r="F13" s="18"/>
    </row>
    <row r="14" spans="2:13" x14ac:dyDescent="0.15">
      <c r="B14" s="96" t="s">
        <v>63</v>
      </c>
      <c r="C14" s="96"/>
      <c r="D14" s="97">
        <v>40634.634666665981</v>
      </c>
      <c r="E14" s="97">
        <v>42427.872000000032</v>
      </c>
      <c r="F14" s="97">
        <v>59121.747149205999</v>
      </c>
    </row>
    <row r="15" spans="2:13" x14ac:dyDescent="0.15">
      <c r="D15" s="18"/>
      <c r="E15" s="18"/>
      <c r="F15" s="18"/>
    </row>
    <row r="16" spans="2:13" x14ac:dyDescent="0.15">
      <c r="B16" s="11" t="s">
        <v>45</v>
      </c>
      <c r="D16" s="18">
        <v>-5815.6</v>
      </c>
      <c r="E16" s="18">
        <v>-9299.6</v>
      </c>
      <c r="F16" s="18">
        <v>-12861.32</v>
      </c>
    </row>
    <row r="17" spans="2:6" x14ac:dyDescent="0.15">
      <c r="D17" s="18"/>
      <c r="E17" s="18"/>
      <c r="F17" s="18"/>
    </row>
    <row r="18" spans="2:6" x14ac:dyDescent="0.15">
      <c r="B18" s="96" t="s">
        <v>64</v>
      </c>
      <c r="C18" s="96"/>
      <c r="D18" s="97">
        <v>34819.034666665983</v>
      </c>
      <c r="E18" s="97">
        <v>33128.272000000034</v>
      </c>
      <c r="F18" s="97">
        <v>46260.427149206</v>
      </c>
    </row>
    <row r="19" spans="2:6" x14ac:dyDescent="0.15">
      <c r="D19" s="18"/>
      <c r="E19" s="18"/>
      <c r="F19" s="18"/>
    </row>
    <row r="20" spans="2:6" x14ac:dyDescent="0.15">
      <c r="B20" s="11" t="s">
        <v>46</v>
      </c>
      <c r="D20" s="18">
        <v>-2532.6</v>
      </c>
      <c r="E20" s="18">
        <v>-4381.8</v>
      </c>
      <c r="F20" s="18">
        <v>-5327.84</v>
      </c>
    </row>
    <row r="21" spans="2:6" x14ac:dyDescent="0.15">
      <c r="B21" s="11" t="s">
        <v>124</v>
      </c>
      <c r="D21" s="18">
        <v>-635.16</v>
      </c>
      <c r="E21" s="18">
        <v>-1728.6</v>
      </c>
      <c r="F21" s="18">
        <v>-640.52</v>
      </c>
    </row>
    <row r="22" spans="2:6" x14ac:dyDescent="0.15">
      <c r="D22" s="18"/>
      <c r="E22" s="18"/>
      <c r="F22" s="18"/>
    </row>
    <row r="23" spans="2:6" x14ac:dyDescent="0.15">
      <c r="B23" s="96" t="s">
        <v>65</v>
      </c>
      <c r="C23" s="96"/>
      <c r="D23" s="97">
        <v>31651.27466666598</v>
      </c>
      <c r="E23" s="97">
        <v>27017.872000000036</v>
      </c>
      <c r="F23" s="97">
        <v>40292.067149206006</v>
      </c>
    </row>
    <row r="24" spans="2:6" x14ac:dyDescent="0.15">
      <c r="D24" s="18"/>
      <c r="E24" s="18"/>
      <c r="F24" s="18"/>
    </row>
    <row r="25" spans="2:6" x14ac:dyDescent="0.15">
      <c r="B25" s="11" t="s">
        <v>48</v>
      </c>
      <c r="D25" s="18">
        <v>-7611.5519999999997</v>
      </c>
      <c r="E25" s="18">
        <v>-6100.384</v>
      </c>
      <c r="F25" s="18">
        <v>-7629.76</v>
      </c>
    </row>
    <row r="26" spans="2:6" x14ac:dyDescent="0.15">
      <c r="D26" s="18"/>
      <c r="E26" s="18"/>
      <c r="F26" s="18"/>
    </row>
    <row r="27" spans="2:6" ht="13" thickBot="1" x14ac:dyDescent="0.2">
      <c r="B27" s="98" t="s">
        <v>67</v>
      </c>
      <c r="C27" s="98"/>
      <c r="D27" s="99">
        <v>24039.722666665981</v>
      </c>
      <c r="E27" s="99">
        <v>20917.488000000034</v>
      </c>
      <c r="F27" s="99">
        <v>32662.307149206004</v>
      </c>
    </row>
    <row r="40" spans="5:8" x14ac:dyDescent="0.15">
      <c r="H40" s="39"/>
    </row>
    <row r="46" spans="5:8" x14ac:dyDescent="0.15">
      <c r="E46" s="39"/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582E4-978E-492C-9830-5F90A4E5A43C}">
  <dimension ref="B1:L46"/>
  <sheetViews>
    <sheetView tabSelected="1" zoomScale="130" zoomScaleNormal="130" workbookViewId="0">
      <selection activeCell="C21" sqref="C21"/>
    </sheetView>
  </sheetViews>
  <sheetFormatPr baseColWidth="10" defaultColWidth="9.1640625" defaultRowHeight="12" x14ac:dyDescent="0.15"/>
  <cols>
    <col min="1" max="1" width="2" style="11" customWidth="1"/>
    <col min="2" max="2" width="24.1640625" style="11" bestFit="1" customWidth="1"/>
    <col min="3" max="3" width="9.1640625" style="11"/>
    <col min="4" max="4" width="10.83203125" style="11" customWidth="1"/>
    <col min="5" max="5" width="10.6640625" style="11" customWidth="1"/>
    <col min="6" max="6" width="11" style="11" bestFit="1" customWidth="1"/>
    <col min="7" max="7" width="9.1640625" style="11"/>
    <col min="8" max="8" width="22.1640625" style="11" bestFit="1" customWidth="1"/>
    <col min="9" max="9" width="9.1640625" style="11"/>
    <col min="10" max="10" width="10" style="11" bestFit="1" customWidth="1"/>
    <col min="11" max="11" width="10.5" style="11" customWidth="1"/>
    <col min="12" max="12" width="11.1640625" style="11" customWidth="1"/>
    <col min="13" max="16384" width="9.1640625" style="11"/>
  </cols>
  <sheetData>
    <row r="1" spans="2:12" ht="16" x14ac:dyDescent="0.2">
      <c r="B1" s="10" t="s">
        <v>20</v>
      </c>
    </row>
    <row r="3" spans="2:12" ht="26" x14ac:dyDescent="0.15">
      <c r="B3" s="93" t="s">
        <v>112</v>
      </c>
      <c r="C3" s="93"/>
      <c r="D3" s="94" t="s">
        <v>113</v>
      </c>
      <c r="E3" s="94" t="s">
        <v>114</v>
      </c>
      <c r="F3" s="94" t="s">
        <v>115</v>
      </c>
      <c r="H3" s="93" t="s">
        <v>112</v>
      </c>
      <c r="I3" s="93"/>
      <c r="J3" s="94" t="s">
        <v>113</v>
      </c>
      <c r="K3" s="94" t="s">
        <v>114</v>
      </c>
      <c r="L3" s="94" t="s">
        <v>115</v>
      </c>
    </row>
    <row r="4" spans="2:12" x14ac:dyDescent="0.15">
      <c r="B4" s="11" t="s">
        <v>125</v>
      </c>
      <c r="D4" s="18">
        <v>11923.2</v>
      </c>
      <c r="E4" s="18">
        <v>11680</v>
      </c>
      <c r="F4" s="18">
        <v>11300</v>
      </c>
      <c r="G4" s="18"/>
      <c r="H4" s="18" t="s">
        <v>126</v>
      </c>
      <c r="I4" s="18"/>
      <c r="J4" s="18">
        <v>13569.6</v>
      </c>
      <c r="K4" s="18">
        <v>13600</v>
      </c>
      <c r="L4" s="18">
        <v>15016</v>
      </c>
    </row>
    <row r="5" spans="2:12" x14ac:dyDescent="0.15">
      <c r="B5" s="11" t="s">
        <v>56</v>
      </c>
      <c r="D5" s="18">
        <v>90212.800000000003</v>
      </c>
      <c r="E5" s="18">
        <v>98144.8</v>
      </c>
      <c r="F5" s="18">
        <v>112218.4</v>
      </c>
      <c r="G5" s="18"/>
      <c r="H5" s="18" t="s">
        <v>127</v>
      </c>
      <c r="I5" s="18"/>
      <c r="J5" s="18">
        <v>92448</v>
      </c>
      <c r="K5" s="18">
        <v>88828.800000000003</v>
      </c>
      <c r="L5" s="18">
        <v>93026.4</v>
      </c>
    </row>
    <row r="6" spans="2:12" x14ac:dyDescent="0.15">
      <c r="B6" s="11" t="s">
        <v>128</v>
      </c>
      <c r="D6" s="18">
        <v>17648</v>
      </c>
      <c r="E6" s="18">
        <v>19662</v>
      </c>
      <c r="F6" s="18">
        <v>20646</v>
      </c>
      <c r="G6" s="18"/>
      <c r="H6" s="18" t="s">
        <v>129</v>
      </c>
      <c r="I6" s="18"/>
      <c r="J6" s="18">
        <v>32787.4</v>
      </c>
      <c r="K6" s="18">
        <v>51987.4</v>
      </c>
      <c r="L6" s="18">
        <v>43032</v>
      </c>
    </row>
    <row r="7" spans="2:12" x14ac:dyDescent="0.15">
      <c r="D7" s="18"/>
      <c r="E7" s="18"/>
      <c r="F7" s="18"/>
      <c r="G7" s="18"/>
      <c r="H7" s="18" t="s">
        <v>130</v>
      </c>
      <c r="I7" s="18"/>
      <c r="J7" s="18">
        <v>24039.722666666599</v>
      </c>
      <c r="K7" s="18">
        <v>20917.488000000001</v>
      </c>
      <c r="L7" s="18">
        <v>32662.307149206001</v>
      </c>
    </row>
    <row r="8" spans="2:12" ht="13" thickBot="1" x14ac:dyDescent="0.2">
      <c r="B8" s="98" t="s">
        <v>131</v>
      </c>
      <c r="C8" s="100"/>
      <c r="D8" s="99">
        <v>119784</v>
      </c>
      <c r="E8" s="99">
        <v>129486.8</v>
      </c>
      <c r="F8" s="99">
        <v>144164.4</v>
      </c>
      <c r="G8" s="18"/>
      <c r="H8" s="99" t="s">
        <v>132</v>
      </c>
      <c r="I8" s="101"/>
      <c r="J8" s="99">
        <v>162844.72266666661</v>
      </c>
      <c r="K8" s="99">
        <v>175333.68800000002</v>
      </c>
      <c r="L8" s="99">
        <v>183736.70714920599</v>
      </c>
    </row>
    <row r="9" spans="2:12" x14ac:dyDescent="0.15">
      <c r="D9" s="18"/>
      <c r="E9" s="18"/>
      <c r="F9" s="18"/>
      <c r="G9" s="18"/>
      <c r="H9" s="18"/>
      <c r="I9" s="18"/>
      <c r="J9" s="18"/>
      <c r="K9" s="18"/>
      <c r="L9" s="18"/>
    </row>
    <row r="10" spans="2:12" x14ac:dyDescent="0.15">
      <c r="B10" s="11" t="s">
        <v>52</v>
      </c>
      <c r="D10" s="18">
        <v>62334.400000000001</v>
      </c>
      <c r="E10" s="18">
        <v>72793.600000000006</v>
      </c>
      <c r="F10" s="18">
        <v>92424</v>
      </c>
      <c r="G10" s="18"/>
      <c r="H10" s="18" t="s">
        <v>133</v>
      </c>
      <c r="I10" s="18"/>
      <c r="J10" s="18">
        <v>31782.400000000001</v>
      </c>
      <c r="K10" s="18">
        <v>52703.199999999997</v>
      </c>
      <c r="L10" s="18">
        <v>72379.199999999997</v>
      </c>
    </row>
    <row r="11" spans="2:12" x14ac:dyDescent="0.15">
      <c r="B11" s="11" t="s">
        <v>134</v>
      </c>
      <c r="D11" s="18">
        <v>65767.199999999997</v>
      </c>
      <c r="E11" s="18">
        <v>77112</v>
      </c>
      <c r="F11" s="18">
        <v>87163.199999999997</v>
      </c>
      <c r="G11" s="18"/>
      <c r="H11" s="18" t="s">
        <v>135</v>
      </c>
      <c r="I11" s="18"/>
      <c r="J11" s="18">
        <v>10630</v>
      </c>
      <c r="K11" s="18">
        <v>8668</v>
      </c>
      <c r="L11" s="18">
        <v>12946.092850794081</v>
      </c>
    </row>
    <row r="12" spans="2:12" x14ac:dyDescent="0.15">
      <c r="B12" s="11" t="s">
        <v>136</v>
      </c>
      <c r="D12" s="18">
        <v>17683.2</v>
      </c>
      <c r="E12" s="18">
        <v>22718.400000000001</v>
      </c>
      <c r="F12" s="18">
        <v>35205.599999999999</v>
      </c>
      <c r="G12" s="18"/>
      <c r="H12" s="18" t="s">
        <v>137</v>
      </c>
      <c r="I12" s="18"/>
      <c r="J12" s="18">
        <v>957.67733333337799</v>
      </c>
      <c r="K12" s="18">
        <v>2435.9120000000198</v>
      </c>
      <c r="L12" s="18">
        <v>3520.8</v>
      </c>
    </row>
    <row r="13" spans="2:12" x14ac:dyDescent="0.15">
      <c r="D13" s="18"/>
      <c r="E13" s="18"/>
      <c r="F13" s="18"/>
      <c r="G13" s="18"/>
      <c r="H13" s="18" t="s">
        <v>138</v>
      </c>
      <c r="I13" s="18"/>
      <c r="J13" s="18">
        <v>350.4</v>
      </c>
      <c r="K13" s="18">
        <v>496.8</v>
      </c>
      <c r="L13" s="18">
        <v>480</v>
      </c>
    </row>
    <row r="14" spans="2:12" x14ac:dyDescent="0.15">
      <c r="B14" s="11" t="s">
        <v>139</v>
      </c>
      <c r="D14" s="18">
        <v>23582.400000000001</v>
      </c>
      <c r="E14" s="18">
        <v>38817.599999999999</v>
      </c>
      <c r="F14" s="18">
        <v>16347.2</v>
      </c>
      <c r="G14" s="18"/>
      <c r="H14" s="18"/>
      <c r="I14" s="18"/>
      <c r="J14" s="18"/>
      <c r="K14" s="18"/>
      <c r="L14" s="18"/>
    </row>
    <row r="15" spans="2:12" ht="13" thickBot="1" x14ac:dyDescent="0.2">
      <c r="B15" s="98" t="s">
        <v>140</v>
      </c>
      <c r="C15" s="100"/>
      <c r="D15" s="99">
        <v>169367.2</v>
      </c>
      <c r="E15" s="99">
        <v>211441.6</v>
      </c>
      <c r="F15" s="99">
        <v>231140</v>
      </c>
      <c r="G15" s="18"/>
      <c r="H15" s="18" t="s">
        <v>141</v>
      </c>
      <c r="I15" s="18"/>
      <c r="J15" s="18">
        <v>74805.2</v>
      </c>
      <c r="K15" s="18">
        <v>91189.2</v>
      </c>
      <c r="L15" s="18">
        <v>101360.8</v>
      </c>
    </row>
    <row r="16" spans="2:12" x14ac:dyDescent="0.15">
      <c r="D16" s="18"/>
      <c r="E16" s="18"/>
      <c r="F16" s="18"/>
      <c r="G16" s="18"/>
      <c r="H16" s="18" t="s">
        <v>142</v>
      </c>
      <c r="I16" s="18"/>
      <c r="J16" s="18">
        <v>7780.8</v>
      </c>
      <c r="K16" s="18">
        <v>10101.6</v>
      </c>
      <c r="L16" s="18">
        <v>880.8</v>
      </c>
    </row>
    <row r="17" spans="2:12" ht="13" thickBot="1" x14ac:dyDescent="0.2">
      <c r="D17" s="18"/>
      <c r="E17" s="18"/>
      <c r="F17" s="18"/>
      <c r="G17" s="18"/>
      <c r="H17" s="99" t="s">
        <v>143</v>
      </c>
      <c r="I17" s="101"/>
      <c r="J17" s="99">
        <v>126306.47733333337</v>
      </c>
      <c r="K17" s="99">
        <v>165594.71200000003</v>
      </c>
      <c r="L17" s="99">
        <v>191567.69285079409</v>
      </c>
    </row>
    <row r="18" spans="2:12" x14ac:dyDescent="0.15">
      <c r="D18" s="18"/>
      <c r="E18" s="18"/>
      <c r="F18" s="18"/>
      <c r="G18" s="18"/>
      <c r="H18" s="18"/>
      <c r="I18" s="18"/>
      <c r="J18" s="18"/>
      <c r="K18" s="18"/>
      <c r="L18" s="18"/>
    </row>
    <row r="19" spans="2:12" ht="13" thickBot="1" x14ac:dyDescent="0.2">
      <c r="B19" s="98" t="s">
        <v>69</v>
      </c>
      <c r="C19" s="100"/>
      <c r="D19" s="99">
        <v>289151.2</v>
      </c>
      <c r="E19" s="99">
        <v>340928.4</v>
      </c>
      <c r="F19" s="99">
        <v>375304.4</v>
      </c>
      <c r="G19" s="18"/>
      <c r="H19" s="99" t="s">
        <v>144</v>
      </c>
      <c r="I19" s="101"/>
      <c r="J19" s="99">
        <v>289151.19999999995</v>
      </c>
      <c r="K19" s="99">
        <v>340928.4</v>
      </c>
      <c r="L19" s="99">
        <v>375304.40000000008</v>
      </c>
    </row>
    <row r="40" spans="5:8" x14ac:dyDescent="0.15">
      <c r="H40" s="39"/>
    </row>
    <row r="46" spans="5:8" x14ac:dyDescent="0.15">
      <c r="E46" s="39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27E9E-BB78-4E90-94F5-52A1F262A65F}">
  <sheetPr>
    <tabColor rgb="FF002060"/>
  </sheetPr>
  <dimension ref="B1:B11"/>
  <sheetViews>
    <sheetView zoomScale="130" zoomScaleNormal="130" workbookViewId="0">
      <selection activeCell="C21" sqref="C21"/>
    </sheetView>
  </sheetViews>
  <sheetFormatPr baseColWidth="10" defaultColWidth="9.1640625" defaultRowHeight="12" x14ac:dyDescent="0.15"/>
  <cols>
    <col min="1" max="1" width="2" style="2" customWidth="1"/>
    <col min="2" max="16384" width="9.1640625" style="2"/>
  </cols>
  <sheetData>
    <row r="1" spans="2:2" ht="16" x14ac:dyDescent="0.2">
      <c r="B1" s="1"/>
    </row>
    <row r="11" spans="2:2" ht="40" x14ac:dyDescent="0.4">
      <c r="B11" s="9" t="s">
        <v>21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475CC-D95A-4594-BF5A-D3513074E93E}">
  <dimension ref="A1:N61"/>
  <sheetViews>
    <sheetView zoomScale="130" zoomScaleNormal="130" workbookViewId="0">
      <selection activeCell="E3" sqref="E3"/>
    </sheetView>
  </sheetViews>
  <sheetFormatPr baseColWidth="10" defaultColWidth="9.1640625" defaultRowHeight="12" x14ac:dyDescent="0.15"/>
  <cols>
    <col min="1" max="1" width="2" style="11" customWidth="1"/>
    <col min="2" max="2" width="21.83203125" style="11" bestFit="1" customWidth="1"/>
    <col min="3" max="3" width="10.5" style="11" bestFit="1" customWidth="1"/>
    <col min="4" max="4" width="11.33203125" style="11" bestFit="1" customWidth="1"/>
    <col min="5" max="5" width="10.33203125" style="11" bestFit="1" customWidth="1"/>
    <col min="6" max="6" width="2" style="11" customWidth="1"/>
    <col min="7" max="7" width="11" style="11" bestFit="1" customWidth="1"/>
    <col min="8" max="11" width="11.1640625" style="11" bestFit="1" customWidth="1"/>
    <col min="12" max="12" width="9.1640625" style="11"/>
    <col min="13" max="13" width="22.1640625" style="11" bestFit="1" customWidth="1"/>
    <col min="14" max="16384" width="9.1640625" style="11"/>
  </cols>
  <sheetData>
    <row r="1" spans="1:14" ht="16" x14ac:dyDescent="0.2">
      <c r="A1" s="2"/>
      <c r="B1" s="10" t="s">
        <v>5</v>
      </c>
    </row>
    <row r="2" spans="1:14" x14ac:dyDescent="0.15">
      <c r="G2" s="11" t="s">
        <v>22</v>
      </c>
    </row>
    <row r="3" spans="1:14" x14ac:dyDescent="0.15">
      <c r="G3" s="11">
        <v>1</v>
      </c>
      <c r="H3" s="11" t="s">
        <v>23</v>
      </c>
    </row>
    <row r="4" spans="1:14" x14ac:dyDescent="0.15">
      <c r="C4" s="11" t="s">
        <v>24</v>
      </c>
      <c r="D4" s="12">
        <v>1</v>
      </c>
      <c r="G4" s="11">
        <v>2</v>
      </c>
      <c r="H4" s="11" t="s">
        <v>25</v>
      </c>
    </row>
    <row r="5" spans="1:14" x14ac:dyDescent="0.15">
      <c r="C5" s="13"/>
      <c r="G5" s="11">
        <v>3</v>
      </c>
      <c r="H5" s="11" t="s">
        <v>26</v>
      </c>
    </row>
    <row r="7" spans="1:14" ht="3.75" customHeight="1" x14ac:dyDescent="0.15"/>
    <row r="8" spans="1:14" ht="27" thickBot="1" x14ac:dyDescent="0.2">
      <c r="B8" s="14" t="s">
        <v>27</v>
      </c>
      <c r="C8" s="15" t="s">
        <v>28</v>
      </c>
      <c r="D8" s="15" t="s">
        <v>29</v>
      </c>
      <c r="E8" s="15" t="s">
        <v>30</v>
      </c>
      <c r="F8" s="16"/>
      <c r="G8" s="17" t="s">
        <v>31</v>
      </c>
      <c r="H8" s="17" t="s">
        <v>32</v>
      </c>
      <c r="I8" s="17" t="s">
        <v>33</v>
      </c>
      <c r="J8" s="17" t="s">
        <v>34</v>
      </c>
      <c r="K8" s="17" t="s">
        <v>35</v>
      </c>
    </row>
    <row r="9" spans="1:14" x14ac:dyDescent="0.15">
      <c r="B9" s="11" t="s">
        <v>36</v>
      </c>
      <c r="C9" s="18">
        <f>'IS source'!D4</f>
        <v>354406</v>
      </c>
      <c r="D9" s="18">
        <f>'IS source'!E4</f>
        <v>377236</v>
      </c>
      <c r="E9" s="18">
        <f>'IS source'!F4</f>
        <v>416732</v>
      </c>
      <c r="G9" s="19">
        <f>E9*(1+G10)</f>
        <v>458405.2</v>
      </c>
      <c r="H9" s="19">
        <f>G9*(1+H10)</f>
        <v>504245.72000000003</v>
      </c>
      <c r="I9" s="19">
        <f t="shared" ref="I9:K9" si="0">H9*(1+I10)</f>
        <v>554670.29200000013</v>
      </c>
      <c r="J9" s="19">
        <f t="shared" si="0"/>
        <v>610137.32120000024</v>
      </c>
      <c r="K9" s="19">
        <f t="shared" si="0"/>
        <v>671151.0533200003</v>
      </c>
      <c r="N9" s="16"/>
    </row>
    <row r="10" spans="1:14" x14ac:dyDescent="0.15">
      <c r="B10" s="11" t="s">
        <v>37</v>
      </c>
      <c r="C10" s="20"/>
      <c r="D10" s="21">
        <f>(D9-C9)/C9</f>
        <v>6.4417645299458814E-2</v>
      </c>
      <c r="E10" s="21">
        <f>(E9-D9)/D9</f>
        <v>0.10469838509580209</v>
      </c>
      <c r="G10" s="22">
        <f>CHOOSE($D$4,G11,G12,G13)</f>
        <v>0.1</v>
      </c>
      <c r="H10" s="22">
        <f t="shared" ref="H10:K10" si="1">CHOOSE($D$4,H11,H12,H13)</f>
        <v>0.1</v>
      </c>
      <c r="I10" s="22">
        <f t="shared" si="1"/>
        <v>0.1</v>
      </c>
      <c r="J10" s="22">
        <f t="shared" si="1"/>
        <v>0.1</v>
      </c>
      <c r="K10" s="22">
        <f t="shared" si="1"/>
        <v>0.1</v>
      </c>
    </row>
    <row r="11" spans="1:14" x14ac:dyDescent="0.15">
      <c r="B11" s="23" t="s">
        <v>38</v>
      </c>
      <c r="C11" s="24"/>
      <c r="D11" s="24"/>
      <c r="E11" s="24"/>
      <c r="G11" s="25">
        <v>0.1</v>
      </c>
      <c r="H11" s="25">
        <v>0.1</v>
      </c>
      <c r="I11" s="25">
        <v>0.1</v>
      </c>
      <c r="J11" s="25">
        <v>0.1</v>
      </c>
      <c r="K11" s="25">
        <v>0.1</v>
      </c>
    </row>
    <row r="12" spans="1:14" x14ac:dyDescent="0.15">
      <c r="B12" s="23" t="s">
        <v>39</v>
      </c>
      <c r="C12" s="24"/>
      <c r="D12" s="24"/>
      <c r="E12" s="24"/>
      <c r="G12" s="22">
        <v>8.4000000000000005E-2</v>
      </c>
      <c r="H12" s="22">
        <v>8.4000000000000005E-2</v>
      </c>
      <c r="I12" s="22">
        <v>8.4000000000000005E-2</v>
      </c>
      <c r="J12" s="22">
        <v>8.4000000000000005E-2</v>
      </c>
      <c r="K12" s="22">
        <v>8.4000000000000005E-2</v>
      </c>
    </row>
    <row r="13" spans="1:14" x14ac:dyDescent="0.15">
      <c r="B13" s="23" t="s">
        <v>40</v>
      </c>
      <c r="C13" s="24"/>
      <c r="D13" s="24"/>
      <c r="E13" s="24"/>
      <c r="G13" s="22">
        <f>0.042</f>
        <v>4.2000000000000003E-2</v>
      </c>
      <c r="H13" s="22">
        <f t="shared" ref="H13:K13" si="2">0.042</f>
        <v>4.2000000000000003E-2</v>
      </c>
      <c r="I13" s="22">
        <f t="shared" si="2"/>
        <v>4.2000000000000003E-2</v>
      </c>
      <c r="J13" s="22">
        <f t="shared" si="2"/>
        <v>4.2000000000000003E-2</v>
      </c>
      <c r="K13" s="22">
        <f t="shared" si="2"/>
        <v>4.2000000000000003E-2</v>
      </c>
    </row>
    <row r="14" spans="1:14" ht="3.75" customHeight="1" x14ac:dyDescent="0.15">
      <c r="G14" s="19"/>
      <c r="H14" s="19"/>
      <c r="I14" s="19"/>
      <c r="J14" s="19"/>
      <c r="K14" s="19"/>
    </row>
    <row r="15" spans="1:14" x14ac:dyDescent="0.15">
      <c r="B15" s="11" t="s">
        <v>41</v>
      </c>
      <c r="C15" s="11">
        <f>'IS source'!D5</f>
        <v>7040</v>
      </c>
      <c r="D15" s="11">
        <f>'IS source'!E5</f>
        <v>4832</v>
      </c>
      <c r="E15" s="11">
        <f>'IS source'!F5</f>
        <v>5170</v>
      </c>
      <c r="G15" s="19">
        <v>5680.7</v>
      </c>
      <c r="H15" s="19">
        <v>5680.7</v>
      </c>
      <c r="I15" s="19">
        <v>5680.7</v>
      </c>
      <c r="J15" s="19">
        <v>5680.7</v>
      </c>
      <c r="K15" s="19">
        <v>5680.7</v>
      </c>
    </row>
    <row r="16" spans="1:14" x14ac:dyDescent="0.15">
      <c r="B16" s="11" t="s">
        <v>37</v>
      </c>
      <c r="C16" s="20"/>
      <c r="D16" s="21">
        <f>(D15-C15)/C15</f>
        <v>-0.31363636363636366</v>
      </c>
      <c r="E16" s="21">
        <f>(E15-D15)/D15</f>
        <v>6.9950331125827811E-2</v>
      </c>
      <c r="G16" s="19">
        <f>E16*(1+G17)</f>
        <v>6.9950331125827811E-2</v>
      </c>
      <c r="H16" s="19">
        <f>G16*(1+H17)</f>
        <v>6.9950331125827811E-2</v>
      </c>
      <c r="I16" s="19">
        <f t="shared" ref="I16:K16" si="3">H16*(1+I17)</f>
        <v>6.9950331125827811E-2</v>
      </c>
      <c r="J16" s="19">
        <f t="shared" si="3"/>
        <v>6.9950331125827811E-2</v>
      </c>
      <c r="K16" s="19">
        <f t="shared" si="3"/>
        <v>6.9950331125827811E-2</v>
      </c>
    </row>
    <row r="17" spans="2:11" x14ac:dyDescent="0.15">
      <c r="B17" s="23" t="s">
        <v>38</v>
      </c>
      <c r="C17" s="24"/>
      <c r="D17" s="24"/>
      <c r="E17" s="24"/>
      <c r="G17" s="25">
        <v>0</v>
      </c>
      <c r="H17" s="25">
        <v>0</v>
      </c>
      <c r="I17" s="25">
        <v>0</v>
      </c>
      <c r="J17" s="25">
        <v>0</v>
      </c>
      <c r="K17" s="25">
        <v>0</v>
      </c>
    </row>
    <row r="18" spans="2:11" x14ac:dyDescent="0.15">
      <c r="B18" s="23" t="s">
        <v>39</v>
      </c>
      <c r="C18" s="24"/>
      <c r="D18" s="24"/>
      <c r="E18" s="24"/>
      <c r="G18" s="25">
        <v>0</v>
      </c>
      <c r="H18" s="25">
        <v>0</v>
      </c>
      <c r="I18" s="25">
        <v>0</v>
      </c>
      <c r="J18" s="25">
        <v>0</v>
      </c>
      <c r="K18" s="25">
        <v>0</v>
      </c>
    </row>
    <row r="19" spans="2:11" x14ac:dyDescent="0.15">
      <c r="B19" s="23" t="s">
        <v>40</v>
      </c>
      <c r="C19" s="24"/>
      <c r="D19" s="24"/>
      <c r="E19" s="24"/>
      <c r="G19" s="25">
        <v>0</v>
      </c>
      <c r="H19" s="25">
        <v>0</v>
      </c>
      <c r="I19" s="25">
        <v>0</v>
      </c>
      <c r="J19" s="25">
        <v>0</v>
      </c>
      <c r="K19" s="25">
        <v>0</v>
      </c>
    </row>
    <row r="20" spans="2:11" ht="3.75" customHeight="1" x14ac:dyDescent="0.15">
      <c r="G20" s="19"/>
      <c r="H20" s="19"/>
      <c r="I20" s="19"/>
      <c r="J20" s="19"/>
      <c r="K20" s="19"/>
    </row>
    <row r="21" spans="2:11" x14ac:dyDescent="0.15">
      <c r="B21" s="11" t="s">
        <v>42</v>
      </c>
      <c r="C21" s="11">
        <f>'IS source'!D8+'IS source'!D9</f>
        <v>-284788.734933334</v>
      </c>
      <c r="D21" s="11">
        <f>'IS source'!E8+'IS source'!E9</f>
        <v>-301144.33279999997</v>
      </c>
      <c r="E21" s="11">
        <f>'IS source'!F8+'IS source'!F9</f>
        <v>-315046.236850794</v>
      </c>
      <c r="G21" s="19">
        <f>-G9*G22</f>
        <v>-348387.95199999999</v>
      </c>
      <c r="H21" s="19">
        <f t="shared" ref="H21:K21" si="4">-H9*H22</f>
        <v>-383226.74720000004</v>
      </c>
      <c r="I21" s="19">
        <f>-I9*I22</f>
        <v>-421549.42192000011</v>
      </c>
      <c r="J21" s="19">
        <f t="shared" si="4"/>
        <v>-463704.36411200021</v>
      </c>
      <c r="K21" s="19">
        <f t="shared" si="4"/>
        <v>-510074.80052320025</v>
      </c>
    </row>
    <row r="22" spans="2:11" x14ac:dyDescent="0.15">
      <c r="B22" s="11" t="s">
        <v>43</v>
      </c>
      <c r="C22" s="26">
        <f>C21/C9</f>
        <v>-0.80356634744709177</v>
      </c>
      <c r="D22" s="26">
        <f>D21/D9</f>
        <v>-0.79829160737575411</v>
      </c>
      <c r="E22" s="26">
        <f>E21/E9</f>
        <v>-0.75599242882906514</v>
      </c>
      <c r="G22" s="22">
        <f>CHOOSE($D$4,G23,G24,G25)</f>
        <v>0.76</v>
      </c>
      <c r="H22" s="22">
        <f t="shared" ref="H22:K22" si="5">CHOOSE($D$4,H23,H24,H25)</f>
        <v>0.76</v>
      </c>
      <c r="I22" s="22">
        <f t="shared" si="5"/>
        <v>0.76</v>
      </c>
      <c r="J22" s="22">
        <f t="shared" si="5"/>
        <v>0.76</v>
      </c>
      <c r="K22" s="22">
        <f t="shared" si="5"/>
        <v>0.76</v>
      </c>
    </row>
    <row r="23" spans="2:11" x14ac:dyDescent="0.15">
      <c r="B23" s="23" t="s">
        <v>38</v>
      </c>
      <c r="C23" s="24"/>
      <c r="D23" s="24"/>
      <c r="E23" s="24"/>
      <c r="G23" s="25">
        <v>0.76</v>
      </c>
      <c r="H23" s="25">
        <v>0.76</v>
      </c>
      <c r="I23" s="25">
        <v>0.76</v>
      </c>
      <c r="J23" s="25">
        <v>0.76</v>
      </c>
      <c r="K23" s="25">
        <v>0.76</v>
      </c>
    </row>
    <row r="24" spans="2:11" x14ac:dyDescent="0.15">
      <c r="B24" s="23" t="s">
        <v>39</v>
      </c>
      <c r="C24" s="24"/>
      <c r="D24" s="24"/>
      <c r="E24" s="24"/>
      <c r="G24" s="25">
        <v>0.8</v>
      </c>
      <c r="H24" s="25">
        <v>0.8</v>
      </c>
      <c r="I24" s="25">
        <v>0.8</v>
      </c>
      <c r="J24" s="25">
        <v>0.8</v>
      </c>
      <c r="K24" s="25">
        <v>0.8</v>
      </c>
    </row>
    <row r="25" spans="2:11" ht="12" customHeight="1" x14ac:dyDescent="0.15">
      <c r="B25" s="23" t="s">
        <v>40</v>
      </c>
      <c r="C25" s="24"/>
      <c r="D25" s="24"/>
      <c r="E25" s="24"/>
      <c r="G25" s="25">
        <v>0.82</v>
      </c>
      <c r="H25" s="25">
        <v>0.82</v>
      </c>
      <c r="I25" s="25">
        <v>0.82</v>
      </c>
      <c r="J25" s="25">
        <v>0.82</v>
      </c>
      <c r="K25" s="25">
        <v>0.82</v>
      </c>
    </row>
    <row r="26" spans="2:11" ht="3.75" customHeight="1" x14ac:dyDescent="0.15">
      <c r="G26" s="19"/>
      <c r="H26" s="19"/>
      <c r="I26" s="19"/>
      <c r="J26" s="19"/>
      <c r="K26" s="19"/>
    </row>
    <row r="27" spans="2:11" ht="12" customHeight="1" x14ac:dyDescent="0.15">
      <c r="B27" s="11" t="s">
        <v>44</v>
      </c>
      <c r="C27" s="11">
        <f>'IS source'!D10+'IS source'!D11+'IS source'!D12</f>
        <v>-36022.630400000002</v>
      </c>
      <c r="D27" s="11">
        <f>'IS source'!E10+'IS source'!E11+'IS source'!E12</f>
        <v>-38495.795199999993</v>
      </c>
      <c r="E27" s="11">
        <f>'IS source'!F10+'IS source'!F11+'IS source'!F12</f>
        <v>-47734.016000000003</v>
      </c>
      <c r="G27" s="19">
        <f>-G9*G28</f>
        <v>-45840.520000000004</v>
      </c>
      <c r="H27" s="19">
        <f t="shared" ref="H27:K27" si="6">-H9*H28</f>
        <v>-50424.572000000007</v>
      </c>
      <c r="I27" s="19">
        <f t="shared" si="6"/>
        <v>-55467.029200000019</v>
      </c>
      <c r="J27" s="19">
        <f t="shared" si="6"/>
        <v>-61013.73212000003</v>
      </c>
      <c r="K27" s="19">
        <f t="shared" si="6"/>
        <v>-67115.105332000036</v>
      </c>
    </row>
    <row r="28" spans="2:11" ht="12" customHeight="1" x14ac:dyDescent="0.15">
      <c r="B28" s="11" t="s">
        <v>43</v>
      </c>
      <c r="C28" s="27">
        <f>C27/C9</f>
        <v>-0.10164227016472634</v>
      </c>
      <c r="D28" s="27">
        <f t="shared" ref="D28:E28" si="7">D27/D9</f>
        <v>-0.10204698173026963</v>
      </c>
      <c r="E28" s="27">
        <f t="shared" si="7"/>
        <v>-0.11454367795129725</v>
      </c>
      <c r="G28" s="22">
        <f>CHOOSE($D$4,G29,G30,G31)</f>
        <v>0.1</v>
      </c>
      <c r="H28" s="22">
        <f t="shared" ref="H28:K28" si="8">CHOOSE($D$4,H29,H30,H31)</f>
        <v>0.1</v>
      </c>
      <c r="I28" s="22">
        <f t="shared" si="8"/>
        <v>0.1</v>
      </c>
      <c r="J28" s="22">
        <f t="shared" si="8"/>
        <v>0.1</v>
      </c>
      <c r="K28" s="22">
        <f t="shared" si="8"/>
        <v>0.1</v>
      </c>
    </row>
    <row r="29" spans="2:11" ht="12" customHeight="1" x14ac:dyDescent="0.15">
      <c r="B29" s="23" t="s">
        <v>38</v>
      </c>
      <c r="C29" s="24"/>
      <c r="D29" s="24"/>
      <c r="E29" s="24"/>
      <c r="G29" s="22">
        <v>0.1</v>
      </c>
      <c r="H29" s="22">
        <v>0.1</v>
      </c>
      <c r="I29" s="22">
        <v>0.1</v>
      </c>
      <c r="J29" s="22">
        <v>0.1</v>
      </c>
      <c r="K29" s="22">
        <v>0.1</v>
      </c>
    </row>
    <row r="30" spans="2:11" ht="12" customHeight="1" x14ac:dyDescent="0.15">
      <c r="B30" s="23" t="s">
        <v>39</v>
      </c>
      <c r="C30" s="24"/>
      <c r="D30" s="24"/>
      <c r="E30" s="24"/>
      <c r="G30" s="22">
        <v>0.105</v>
      </c>
      <c r="H30" s="22">
        <v>0.105</v>
      </c>
      <c r="I30" s="22">
        <v>0.105</v>
      </c>
      <c r="J30" s="22">
        <v>0.105</v>
      </c>
      <c r="K30" s="22">
        <v>0.105</v>
      </c>
    </row>
    <row r="31" spans="2:11" ht="12" customHeight="1" x14ac:dyDescent="0.15">
      <c r="B31" s="23" t="s">
        <v>40</v>
      </c>
      <c r="C31" s="24"/>
      <c r="D31" s="24"/>
      <c r="E31" s="24"/>
      <c r="G31" s="22">
        <v>0.11</v>
      </c>
      <c r="H31" s="22">
        <v>0.11</v>
      </c>
      <c r="I31" s="22">
        <v>0.11</v>
      </c>
      <c r="J31" s="22">
        <v>0.11</v>
      </c>
      <c r="K31" s="22">
        <v>0.11</v>
      </c>
    </row>
    <row r="32" spans="2:11" ht="3.75" customHeight="1" x14ac:dyDescent="0.15">
      <c r="G32" s="25"/>
      <c r="H32" s="25"/>
      <c r="I32" s="25"/>
      <c r="J32" s="25"/>
      <c r="K32" s="25"/>
    </row>
    <row r="33" spans="2:11" x14ac:dyDescent="0.15">
      <c r="B33" s="11" t="s">
        <v>45</v>
      </c>
      <c r="C33" s="11">
        <f>'IS source'!D16</f>
        <v>-5815.6</v>
      </c>
      <c r="D33" s="11">
        <f>'IS source'!E16</f>
        <v>-9299.6</v>
      </c>
      <c r="E33" s="11">
        <f>'IS source'!F16</f>
        <v>-12861.32</v>
      </c>
      <c r="G33" s="28">
        <f>-G34*G9</f>
        <v>-9168.1040000000012</v>
      </c>
      <c r="H33" s="28">
        <f t="shared" ref="H33:K33" si="9">-H34*H9</f>
        <v>-10084.914400000001</v>
      </c>
      <c r="I33" s="28">
        <f t="shared" si="9"/>
        <v>-11093.405840000003</v>
      </c>
      <c r="J33" s="28">
        <f t="shared" si="9"/>
        <v>-12202.746424000004</v>
      </c>
      <c r="K33" s="28">
        <f t="shared" si="9"/>
        <v>-13423.021066400006</v>
      </c>
    </row>
    <row r="34" spans="2:11" x14ac:dyDescent="0.15">
      <c r="B34" s="11" t="s">
        <v>43</v>
      </c>
      <c r="C34" s="27">
        <f>C33/C9</f>
        <v>-1.6409428734276508E-2</v>
      </c>
      <c r="D34" s="27">
        <f t="shared" ref="D34:E34" si="10">D33/D9</f>
        <v>-2.4651942020379815E-2</v>
      </c>
      <c r="E34" s="27">
        <f t="shared" si="10"/>
        <v>-3.0862328786846221E-2</v>
      </c>
      <c r="G34" s="22">
        <f>CHOOSE($D$4,G35,G36,G37)</f>
        <v>0.02</v>
      </c>
      <c r="H34" s="22">
        <f t="shared" ref="H34:K34" si="11">CHOOSE($D$4,H35,H36,H37)</f>
        <v>0.02</v>
      </c>
      <c r="I34" s="22">
        <f t="shared" si="11"/>
        <v>0.02</v>
      </c>
      <c r="J34" s="22">
        <f t="shared" si="11"/>
        <v>0.02</v>
      </c>
      <c r="K34" s="22">
        <f t="shared" si="11"/>
        <v>0.02</v>
      </c>
    </row>
    <row r="35" spans="2:11" x14ac:dyDescent="0.15">
      <c r="B35" s="23" t="s">
        <v>38</v>
      </c>
      <c r="C35" s="24"/>
      <c r="D35" s="24"/>
      <c r="E35" s="24"/>
      <c r="G35" s="22">
        <v>0.02</v>
      </c>
      <c r="H35" s="22">
        <v>0.02</v>
      </c>
      <c r="I35" s="22">
        <v>0.02</v>
      </c>
      <c r="J35" s="22">
        <v>0.02</v>
      </c>
      <c r="K35" s="22">
        <v>0.02</v>
      </c>
    </row>
    <row r="36" spans="2:11" x14ac:dyDescent="0.15">
      <c r="B36" s="23" t="s">
        <v>39</v>
      </c>
      <c r="C36" s="24"/>
      <c r="D36" s="24"/>
      <c r="E36" s="24"/>
      <c r="G36" s="22">
        <v>2.5000000000000001E-2</v>
      </c>
      <c r="H36" s="22">
        <v>2.5000000000000001E-2</v>
      </c>
      <c r="I36" s="22">
        <v>2.5000000000000001E-2</v>
      </c>
      <c r="J36" s="22">
        <v>2.5000000000000001E-2</v>
      </c>
      <c r="K36" s="22">
        <v>2.5000000000000001E-2</v>
      </c>
    </row>
    <row r="37" spans="2:11" ht="12" customHeight="1" x14ac:dyDescent="0.15">
      <c r="B37" s="23" t="s">
        <v>40</v>
      </c>
      <c r="C37" s="24"/>
      <c r="D37" s="24"/>
      <c r="E37" s="24"/>
      <c r="G37" s="22">
        <v>0.03</v>
      </c>
      <c r="H37" s="22">
        <v>0.03</v>
      </c>
      <c r="I37" s="22">
        <v>0.03</v>
      </c>
      <c r="J37" s="22">
        <v>0.03</v>
      </c>
      <c r="K37" s="22">
        <v>0.03</v>
      </c>
    </row>
    <row r="38" spans="2:11" ht="3.75" customHeight="1" x14ac:dyDescent="0.15">
      <c r="G38" s="25"/>
      <c r="H38" s="25"/>
      <c r="I38" s="25"/>
      <c r="J38" s="25"/>
      <c r="K38" s="25"/>
    </row>
    <row r="39" spans="2:11" ht="12" customHeight="1" x14ac:dyDescent="0.15">
      <c r="B39" s="11" t="s">
        <v>46</v>
      </c>
      <c r="C39" s="18">
        <f>'IS source'!D20</f>
        <v>-2532.6</v>
      </c>
      <c r="D39" s="18">
        <f>'IS source'!E20</f>
        <v>-4381.8</v>
      </c>
      <c r="E39" s="18">
        <f>'IS source'!F20</f>
        <v>-5327.84</v>
      </c>
      <c r="G39" s="29">
        <f>E39</f>
        <v>-5327.84</v>
      </c>
      <c r="H39" s="29">
        <f>G39</f>
        <v>-5327.84</v>
      </c>
      <c r="I39" s="29">
        <f t="shared" ref="I39:K39" si="12">H39</f>
        <v>-5327.84</v>
      </c>
      <c r="J39" s="29">
        <f t="shared" si="12"/>
        <v>-5327.84</v>
      </c>
      <c r="K39" s="29">
        <f t="shared" si="12"/>
        <v>-5327.84</v>
      </c>
    </row>
    <row r="40" spans="2:11" ht="12" customHeight="1" x14ac:dyDescent="0.15">
      <c r="B40" s="11" t="s">
        <v>37</v>
      </c>
      <c r="C40" s="20"/>
      <c r="D40" s="21">
        <f>(D39-C39)/C39</f>
        <v>0.73015873015873034</v>
      </c>
      <c r="E40" s="21">
        <f>(E39-D39)/D39</f>
        <v>0.21590214067278285</v>
      </c>
      <c r="G40" s="22">
        <f>CHOOSE($D$4,G41,G42,G43)</f>
        <v>0</v>
      </c>
      <c r="H40" s="22">
        <f t="shared" ref="H40:K40" si="13">CHOOSE($D$4,H41,H42,H43)</f>
        <v>0</v>
      </c>
      <c r="I40" s="22">
        <f t="shared" si="13"/>
        <v>0</v>
      </c>
      <c r="J40" s="22">
        <f t="shared" si="13"/>
        <v>0</v>
      </c>
      <c r="K40" s="22">
        <f t="shared" si="13"/>
        <v>0</v>
      </c>
    </row>
    <row r="41" spans="2:11" ht="12" customHeight="1" x14ac:dyDescent="0.15">
      <c r="B41" s="23" t="s">
        <v>38</v>
      </c>
      <c r="C41" s="24"/>
      <c r="D41" s="24"/>
      <c r="E41" s="24"/>
      <c r="G41" s="25">
        <v>0</v>
      </c>
      <c r="H41" s="25">
        <v>0</v>
      </c>
      <c r="I41" s="25">
        <v>0</v>
      </c>
      <c r="J41" s="25">
        <v>0</v>
      </c>
      <c r="K41" s="25">
        <v>0</v>
      </c>
    </row>
    <row r="42" spans="2:11" ht="12" customHeight="1" x14ac:dyDescent="0.15">
      <c r="B42" s="23" t="s">
        <v>39</v>
      </c>
      <c r="C42" s="24"/>
      <c r="D42" s="24"/>
      <c r="E42" s="24"/>
      <c r="G42" s="25">
        <v>0</v>
      </c>
      <c r="H42" s="25">
        <v>0</v>
      </c>
      <c r="I42" s="25">
        <v>0</v>
      </c>
      <c r="J42" s="25">
        <v>0</v>
      </c>
      <c r="K42" s="25">
        <v>0</v>
      </c>
    </row>
    <row r="43" spans="2:11" ht="12" customHeight="1" x14ac:dyDescent="0.15">
      <c r="B43" s="23" t="s">
        <v>40</v>
      </c>
      <c r="C43" s="24"/>
      <c r="D43" s="24"/>
      <c r="E43" s="24"/>
      <c r="G43" s="25">
        <v>0</v>
      </c>
      <c r="H43" s="25">
        <v>0</v>
      </c>
      <c r="I43" s="25">
        <v>0</v>
      </c>
      <c r="J43" s="25">
        <v>0</v>
      </c>
      <c r="K43" s="25">
        <v>0</v>
      </c>
    </row>
    <row r="44" spans="2:11" ht="3.75" customHeight="1" x14ac:dyDescent="0.15">
      <c r="B44" s="21"/>
      <c r="C44" s="21"/>
      <c r="D44" s="21"/>
      <c r="E44" s="21"/>
      <c r="G44" s="25"/>
      <c r="H44" s="25"/>
      <c r="I44" s="25"/>
      <c r="J44" s="25"/>
      <c r="K44" s="25"/>
    </row>
    <row r="45" spans="2:11" ht="12" customHeight="1" x14ac:dyDescent="0.15">
      <c r="B45" s="21" t="s">
        <v>47</v>
      </c>
      <c r="C45" s="30">
        <f>'IS source'!D21</f>
        <v>-635.16</v>
      </c>
      <c r="D45" s="30">
        <f>'IS source'!E21</f>
        <v>-1728.6</v>
      </c>
      <c r="E45" s="30">
        <f>'IS source'!F21</f>
        <v>-640.52</v>
      </c>
      <c r="G45" s="31">
        <v>0</v>
      </c>
      <c r="H45" s="31">
        <v>0</v>
      </c>
      <c r="I45" s="31">
        <v>0</v>
      </c>
      <c r="J45" s="31">
        <v>0</v>
      </c>
      <c r="K45" s="31">
        <v>0</v>
      </c>
    </row>
    <row r="46" spans="2:11" ht="12" customHeight="1" x14ac:dyDescent="0.15">
      <c r="B46" s="11" t="s">
        <v>43</v>
      </c>
      <c r="C46" s="27">
        <f>C45/C21</f>
        <v>2.2302848465852562E-3</v>
      </c>
      <c r="D46" s="27">
        <f t="shared" ref="D46:E46" si="14">D45/D21</f>
        <v>5.7401046997222456E-3</v>
      </c>
      <c r="E46" s="27">
        <f t="shared" si="14"/>
        <v>2.0330983997861574E-3</v>
      </c>
      <c r="G46" s="22">
        <f>CHOOSE($D$4,G47,G48,G49)</f>
        <v>0</v>
      </c>
      <c r="H46" s="22">
        <f t="shared" ref="H46:K46" si="15">CHOOSE($D$4,H47,H48,H49)</f>
        <v>0</v>
      </c>
      <c r="I46" s="22">
        <f t="shared" si="15"/>
        <v>0</v>
      </c>
      <c r="J46" s="22">
        <f t="shared" si="15"/>
        <v>0</v>
      </c>
      <c r="K46" s="22">
        <f t="shared" si="15"/>
        <v>0</v>
      </c>
    </row>
    <row r="47" spans="2:11" ht="12" customHeight="1" x14ac:dyDescent="0.15">
      <c r="B47" s="23" t="s">
        <v>38</v>
      </c>
      <c r="C47" s="24"/>
      <c r="D47" s="24"/>
      <c r="E47" s="24"/>
      <c r="G47" s="25">
        <v>0</v>
      </c>
      <c r="H47" s="25">
        <v>0</v>
      </c>
      <c r="I47" s="25">
        <v>0</v>
      </c>
      <c r="J47" s="25">
        <v>0</v>
      </c>
      <c r="K47" s="25">
        <v>0</v>
      </c>
    </row>
    <row r="48" spans="2:11" ht="12" customHeight="1" x14ac:dyDescent="0.15">
      <c r="B48" s="23" t="s">
        <v>39</v>
      </c>
      <c r="C48" s="24"/>
      <c r="D48" s="24"/>
      <c r="E48" s="24"/>
      <c r="G48" s="25">
        <v>0</v>
      </c>
      <c r="H48" s="25">
        <v>0</v>
      </c>
      <c r="I48" s="25">
        <v>0</v>
      </c>
      <c r="J48" s="25">
        <v>0</v>
      </c>
      <c r="K48" s="25">
        <v>0</v>
      </c>
    </row>
    <row r="49" spans="2:11" ht="12" customHeight="1" x14ac:dyDescent="0.15">
      <c r="B49" s="23" t="s">
        <v>40</v>
      </c>
      <c r="C49" s="24"/>
      <c r="D49" s="24"/>
      <c r="E49" s="24"/>
      <c r="G49" s="25">
        <v>0</v>
      </c>
      <c r="H49" s="25">
        <v>0</v>
      </c>
      <c r="I49" s="25">
        <v>0</v>
      </c>
      <c r="J49" s="25">
        <v>0</v>
      </c>
      <c r="K49" s="25">
        <v>0</v>
      </c>
    </row>
    <row r="50" spans="2:11" ht="3.75" customHeight="1" x14ac:dyDescent="0.15">
      <c r="C50" s="21"/>
      <c r="D50" s="21"/>
      <c r="E50" s="21"/>
      <c r="G50" s="25"/>
      <c r="H50" s="25"/>
      <c r="I50" s="25"/>
      <c r="J50" s="25"/>
      <c r="K50" s="25"/>
    </row>
    <row r="51" spans="2:11" x14ac:dyDescent="0.15">
      <c r="B51" s="11" t="s">
        <v>48</v>
      </c>
      <c r="C51" s="30">
        <f>'IS source'!D25</f>
        <v>-7611.5519999999997</v>
      </c>
      <c r="D51" s="30">
        <f>'IS source'!E25</f>
        <v>-6100.384</v>
      </c>
      <c r="E51" s="30">
        <f>'IS source'!F25</f>
        <v>-7629.76</v>
      </c>
      <c r="G51" s="25"/>
      <c r="H51" s="25"/>
      <c r="I51" s="25"/>
      <c r="J51" s="25"/>
      <c r="K51" s="25"/>
    </row>
    <row r="52" spans="2:11" x14ac:dyDescent="0.15">
      <c r="B52" s="11" t="s">
        <v>49</v>
      </c>
      <c r="C52" s="27">
        <f>C51/'IS source'!D23</f>
        <v>-0.24048168928931704</v>
      </c>
      <c r="D52" s="27">
        <f>D51/'IS source'!E23</f>
        <v>-0.22579069143565386</v>
      </c>
      <c r="E52" s="27">
        <f>E51/'IS source'!F23</f>
        <v>-0.18936134430001197</v>
      </c>
      <c r="G52" s="22">
        <f>-CHOOSE($D$4,G53,G54,G55)</f>
        <v>-0.18</v>
      </c>
      <c r="H52" s="22">
        <f t="shared" ref="H52:K52" si="16">-CHOOSE($D$4,H53,H54,H55)</f>
        <v>-0.18</v>
      </c>
      <c r="I52" s="22">
        <f t="shared" si="16"/>
        <v>-0.18</v>
      </c>
      <c r="J52" s="22">
        <f t="shared" si="16"/>
        <v>-0.18</v>
      </c>
      <c r="K52" s="22">
        <f t="shared" si="16"/>
        <v>-0.18</v>
      </c>
    </row>
    <row r="53" spans="2:11" x14ac:dyDescent="0.15">
      <c r="B53" s="23" t="s">
        <v>38</v>
      </c>
      <c r="C53" s="24"/>
      <c r="D53" s="24"/>
      <c r="E53" s="24"/>
      <c r="G53" s="25">
        <v>0.18</v>
      </c>
      <c r="H53" s="25">
        <v>0.18</v>
      </c>
      <c r="I53" s="25">
        <v>0.18</v>
      </c>
      <c r="J53" s="25">
        <v>0.18</v>
      </c>
      <c r="K53" s="25">
        <v>0.18</v>
      </c>
    </row>
    <row r="54" spans="2:11" x14ac:dyDescent="0.15">
      <c r="B54" s="23" t="s">
        <v>39</v>
      </c>
      <c r="C54" s="24"/>
      <c r="D54" s="24"/>
      <c r="E54" s="24"/>
      <c r="G54" s="25">
        <v>0.2</v>
      </c>
      <c r="H54" s="25">
        <v>0.2</v>
      </c>
      <c r="I54" s="25">
        <v>0.2</v>
      </c>
      <c r="J54" s="25">
        <v>0.2</v>
      </c>
      <c r="K54" s="25">
        <v>0.2</v>
      </c>
    </row>
    <row r="55" spans="2:11" x14ac:dyDescent="0.15">
      <c r="B55" s="23" t="s">
        <v>40</v>
      </c>
      <c r="C55" s="24"/>
      <c r="D55" s="24"/>
      <c r="E55" s="24"/>
      <c r="G55" s="25">
        <v>0.22</v>
      </c>
      <c r="H55" s="25">
        <v>0.22</v>
      </c>
      <c r="I55" s="25">
        <v>0.22</v>
      </c>
      <c r="J55" s="25">
        <v>0.22</v>
      </c>
      <c r="K55" s="25">
        <v>0.22</v>
      </c>
    </row>
    <row r="56" spans="2:11" x14ac:dyDescent="0.15">
      <c r="G56" s="25"/>
      <c r="H56" s="25"/>
      <c r="I56" s="25"/>
      <c r="J56" s="25"/>
      <c r="K56" s="25"/>
    </row>
    <row r="57" spans="2:11" x14ac:dyDescent="0.15">
      <c r="G57" s="25"/>
      <c r="H57" s="25"/>
      <c r="I57" s="25"/>
      <c r="J57" s="25"/>
      <c r="K57" s="25"/>
    </row>
    <row r="58" spans="2:11" x14ac:dyDescent="0.15">
      <c r="G58" s="25"/>
      <c r="H58" s="25"/>
      <c r="I58" s="25"/>
      <c r="J58" s="25"/>
      <c r="K58" s="25"/>
    </row>
    <row r="59" spans="2:11" x14ac:dyDescent="0.15">
      <c r="G59" s="25"/>
      <c r="H59" s="25"/>
      <c r="I59" s="25"/>
      <c r="J59" s="25"/>
      <c r="K59" s="25"/>
    </row>
    <row r="60" spans="2:11" x14ac:dyDescent="0.15">
      <c r="G60" s="25"/>
      <c r="H60" s="25"/>
      <c r="I60" s="25"/>
      <c r="J60" s="25"/>
      <c r="K60" s="25"/>
    </row>
    <row r="61" spans="2:11" x14ac:dyDescent="0.15">
      <c r="G61" s="25"/>
      <c r="H61" s="25"/>
      <c r="I61" s="25"/>
      <c r="J61" s="25"/>
      <c r="K61" s="25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5DF05-B0C8-43C1-A6C2-547BBAC21D80}">
  <dimension ref="B1:K46"/>
  <sheetViews>
    <sheetView zoomScale="130" zoomScaleNormal="130" workbookViewId="0">
      <selection activeCell="C21" sqref="C21"/>
    </sheetView>
  </sheetViews>
  <sheetFormatPr baseColWidth="10" defaultColWidth="9.1640625" defaultRowHeight="12" x14ac:dyDescent="0.15"/>
  <cols>
    <col min="1" max="1" width="2" style="11" customWidth="1"/>
    <col min="2" max="2" width="17.33203125" style="11" customWidth="1"/>
    <col min="3" max="3" width="13.33203125" style="11" bestFit="1" customWidth="1"/>
    <col min="4" max="4" width="9.1640625" style="11"/>
    <col min="5" max="5" width="10" style="11" bestFit="1" customWidth="1"/>
    <col min="6" max="6" width="2" style="11" customWidth="1"/>
    <col min="7" max="7" width="11.5" style="11" bestFit="1" customWidth="1"/>
    <col min="8" max="16384" width="9.1640625" style="11"/>
  </cols>
  <sheetData>
    <row r="1" spans="2:11" ht="16" x14ac:dyDescent="0.2">
      <c r="B1" s="10" t="s">
        <v>6</v>
      </c>
    </row>
    <row r="3" spans="2:11" ht="3.75" customHeight="1" x14ac:dyDescent="0.15"/>
    <row r="4" spans="2:11" ht="27" thickBot="1" x14ac:dyDescent="0.2">
      <c r="B4" s="14" t="s">
        <v>27</v>
      </c>
      <c r="C4" s="15" t="s">
        <v>28</v>
      </c>
      <c r="D4" s="15" t="s">
        <v>29</v>
      </c>
      <c r="E4" s="15" t="s">
        <v>30</v>
      </c>
      <c r="F4" s="16"/>
      <c r="G4" s="17" t="s">
        <v>31</v>
      </c>
      <c r="H4" s="17" t="s">
        <v>32</v>
      </c>
      <c r="I4" s="17" t="s">
        <v>33</v>
      </c>
      <c r="J4" s="17" t="s">
        <v>34</v>
      </c>
      <c r="K4" s="17" t="s">
        <v>35</v>
      </c>
    </row>
    <row r="5" spans="2:11" x14ac:dyDescent="0.15">
      <c r="B5" s="11" t="s">
        <v>50</v>
      </c>
      <c r="C5" s="18">
        <f>'BS source'!D11</f>
        <v>65767.199999999997</v>
      </c>
      <c r="D5" s="18">
        <f>'BS source'!E11</f>
        <v>77112</v>
      </c>
      <c r="E5" s="18">
        <f>'BS source'!F11</f>
        <v>87163.199999999997</v>
      </c>
      <c r="G5" s="19">
        <f>G6*'IS assumptions'!G9/360</f>
        <v>95879.51999999999</v>
      </c>
      <c r="H5" s="19">
        <f>H6*'IS assumptions'!H9/360</f>
        <v>105467.47200000001</v>
      </c>
      <c r="I5" s="19">
        <f>I6*'IS assumptions'!I9/360</f>
        <v>116014.21920000002</v>
      </c>
      <c r="J5" s="19">
        <f>J6*'IS assumptions'!J9/360</f>
        <v>127615.64112000004</v>
      </c>
      <c r="K5" s="19">
        <f>K6*'IS assumptions'!K9/360</f>
        <v>140377.20523200004</v>
      </c>
    </row>
    <row r="6" spans="2:11" x14ac:dyDescent="0.15">
      <c r="B6" s="32" t="s">
        <v>51</v>
      </c>
      <c r="C6" s="32">
        <f>C5/'IS assumptions'!C9*360</f>
        <v>66.805279820319072</v>
      </c>
      <c r="D6" s="32">
        <f>D5/'IS assumptions'!D9*360</f>
        <v>73.588734903349632</v>
      </c>
      <c r="E6" s="32">
        <f>E5/'IS assumptions'!E9*360</f>
        <v>75.297198199322338</v>
      </c>
      <c r="F6" s="32"/>
      <c r="G6" s="33">
        <f>$E$6</f>
        <v>75.297198199322338</v>
      </c>
      <c r="H6" s="33">
        <f t="shared" ref="H6:K6" si="0">$E$6</f>
        <v>75.297198199322338</v>
      </c>
      <c r="I6" s="33">
        <f t="shared" si="0"/>
        <v>75.297198199322338</v>
      </c>
      <c r="J6" s="33">
        <f t="shared" si="0"/>
        <v>75.297198199322338</v>
      </c>
      <c r="K6" s="33">
        <f t="shared" si="0"/>
        <v>75.297198199322338</v>
      </c>
    </row>
    <row r="7" spans="2:11" x14ac:dyDescent="0.15">
      <c r="C7" s="18"/>
      <c r="D7" s="18"/>
      <c r="E7" s="18"/>
      <c r="G7" s="34"/>
      <c r="H7" s="34"/>
      <c r="I7" s="34"/>
      <c r="J7" s="34"/>
      <c r="K7" s="34"/>
    </row>
    <row r="8" spans="2:11" x14ac:dyDescent="0.15">
      <c r="B8" s="11" t="s">
        <v>52</v>
      </c>
      <c r="C8" s="18">
        <f>'BS source'!D10</f>
        <v>62334.400000000001</v>
      </c>
      <c r="D8" s="18">
        <f>'BS source'!E10</f>
        <v>72793.600000000006</v>
      </c>
      <c r="E8" s="18">
        <f>'BS source'!F10</f>
        <v>92424</v>
      </c>
      <c r="G8" s="19">
        <f>-G9*'IS assumptions'!G21/360</f>
        <v>102205.34102395151</v>
      </c>
      <c r="H8" s="19">
        <f>-H9*'IS assumptions'!H21/360</f>
        <v>112425.87512634668</v>
      </c>
      <c r="I8" s="19">
        <f>-I9*'IS assumptions'!I21/360</f>
        <v>123668.46263898138</v>
      </c>
      <c r="J8" s="19">
        <f>-J9*'IS assumptions'!J21/360</f>
        <v>136035.30890287954</v>
      </c>
      <c r="K8" s="19">
        <f>-K9*'IS assumptions'!K21/360</f>
        <v>149638.83979316748</v>
      </c>
    </row>
    <row r="9" spans="2:11" x14ac:dyDescent="0.15">
      <c r="B9" s="32" t="s">
        <v>53</v>
      </c>
      <c r="C9" s="32">
        <f>-C8/'IS assumptions'!C21*360</f>
        <v>78.796599890979024</v>
      </c>
      <c r="D9" s="32">
        <f>-D8/'IS assumptions'!D21*360</f>
        <v>87.020385727810066</v>
      </c>
      <c r="E9" s="32">
        <f>-E8/'IS assumptions'!E21*360</f>
        <v>105.61192646702818</v>
      </c>
      <c r="G9" s="33">
        <f>$E$9</f>
        <v>105.61192646702818</v>
      </c>
      <c r="H9" s="33">
        <f t="shared" ref="H9:K9" si="1">$E$9</f>
        <v>105.61192646702818</v>
      </c>
      <c r="I9" s="33">
        <f t="shared" si="1"/>
        <v>105.61192646702818</v>
      </c>
      <c r="J9" s="33">
        <f t="shared" si="1"/>
        <v>105.61192646702818</v>
      </c>
      <c r="K9" s="33">
        <f t="shared" si="1"/>
        <v>105.61192646702818</v>
      </c>
    </row>
    <row r="10" spans="2:11" x14ac:dyDescent="0.15">
      <c r="C10" s="18"/>
      <c r="D10" s="18"/>
      <c r="E10" s="18"/>
      <c r="G10" s="34"/>
      <c r="H10" s="34"/>
      <c r="I10" s="34"/>
      <c r="J10" s="34"/>
      <c r="K10" s="34"/>
    </row>
    <row r="11" spans="2:11" x14ac:dyDescent="0.15">
      <c r="B11" s="11" t="s">
        <v>54</v>
      </c>
      <c r="C11" s="18">
        <f>'BS source'!J10</f>
        <v>31782.400000000001</v>
      </c>
      <c r="D11" s="18">
        <f>'BS source'!K10</f>
        <v>52703.199999999997</v>
      </c>
      <c r="E11" s="18">
        <f>'BS source'!L10</f>
        <v>72379.199999999997</v>
      </c>
      <c r="F11" s="18">
        <f>'BS source'!M10</f>
        <v>0</v>
      </c>
      <c r="G11" s="19">
        <f>-G12*'IS assumptions'!G21/360</f>
        <v>80039.176177624773</v>
      </c>
      <c r="H11" s="19">
        <f>-H12*'IS assumptions'!H21/360</f>
        <v>88043.093795387249</v>
      </c>
      <c r="I11" s="19">
        <f>-I12*'IS assumptions'!I21/360</f>
        <v>96847.403174925988</v>
      </c>
      <c r="J11" s="19">
        <f>-J12*'IS assumptions'!J21/360</f>
        <v>106532.1434924186</v>
      </c>
      <c r="K11" s="19">
        <f>-K12*'IS assumptions'!K21/360</f>
        <v>117185.35784166047</v>
      </c>
    </row>
    <row r="12" spans="2:11" x14ac:dyDescent="0.15">
      <c r="B12" s="32" t="s">
        <v>55</v>
      </c>
      <c r="C12" s="32">
        <f>-C11/'IS assumptions'!C21*360</f>
        <v>40.175971155173578</v>
      </c>
      <c r="D12" s="32">
        <f>-D11/'IS assumptions'!D21*360</f>
        <v>63.003516697758023</v>
      </c>
      <c r="E12" s="32">
        <f>-E11/'IS assumptions'!E21*360</f>
        <v>82.706945686643365</v>
      </c>
      <c r="G12" s="33">
        <f>$E$12</f>
        <v>82.706945686643365</v>
      </c>
      <c r="H12" s="33">
        <f t="shared" ref="H12:K12" si="2">$E$12</f>
        <v>82.706945686643365</v>
      </c>
      <c r="I12" s="33">
        <f t="shared" si="2"/>
        <v>82.706945686643365</v>
      </c>
      <c r="J12" s="33">
        <f t="shared" si="2"/>
        <v>82.706945686643365</v>
      </c>
      <c r="K12" s="33">
        <f t="shared" si="2"/>
        <v>82.706945686643365</v>
      </c>
    </row>
    <row r="13" spans="2:11" x14ac:dyDescent="0.15">
      <c r="C13" s="18"/>
      <c r="D13" s="18"/>
      <c r="E13" s="18"/>
      <c r="G13" s="34"/>
      <c r="H13" s="34"/>
      <c r="I13" s="34"/>
      <c r="J13" s="34"/>
      <c r="K13" s="34"/>
    </row>
    <row r="14" spans="2:11" x14ac:dyDescent="0.15">
      <c r="B14" s="11" t="s">
        <v>56</v>
      </c>
      <c r="C14" s="18">
        <f>'BS source'!D5</f>
        <v>90212.800000000003</v>
      </c>
      <c r="D14" s="18">
        <f>'BS source'!E5</f>
        <v>98144.8</v>
      </c>
      <c r="E14" s="18">
        <f>'BS source'!F5</f>
        <v>112218.4</v>
      </c>
      <c r="G14" s="19">
        <f>G15*'IS assumptions'!G9</f>
        <v>123310.99880000002</v>
      </c>
      <c r="H14" s="19">
        <f>H15*'IS assumptions'!H9</f>
        <v>135642.09868000002</v>
      </c>
      <c r="I14" s="19">
        <f>I15*'IS assumptions'!I9</f>
        <v>149206.30854800006</v>
      </c>
      <c r="J14" s="19">
        <f>J15*'IS assumptions'!J9</f>
        <v>164126.93940280008</v>
      </c>
      <c r="K14" s="19">
        <f>K15*'IS assumptions'!K9</f>
        <v>180539.63334308009</v>
      </c>
    </row>
    <row r="15" spans="2:11" x14ac:dyDescent="0.15">
      <c r="B15" s="32" t="s">
        <v>57</v>
      </c>
      <c r="C15" s="35">
        <f>C14/'IS assumptions'!C9</f>
        <v>0.25454648059005774</v>
      </c>
      <c r="D15" s="35">
        <f>D14/'IS assumptions'!D9</f>
        <v>0.26016817058817293</v>
      </c>
      <c r="E15" s="35">
        <f>E14/'IS assumptions'!E9</f>
        <v>0.26928193659234229</v>
      </c>
      <c r="G15" s="36">
        <f>0.269</f>
        <v>0.26900000000000002</v>
      </c>
      <c r="H15" s="36">
        <f t="shared" ref="H15:K15" si="3">0.269</f>
        <v>0.26900000000000002</v>
      </c>
      <c r="I15" s="36">
        <f t="shared" si="3"/>
        <v>0.26900000000000002</v>
      </c>
      <c r="J15" s="36">
        <f t="shared" si="3"/>
        <v>0.26900000000000002</v>
      </c>
      <c r="K15" s="36">
        <f t="shared" si="3"/>
        <v>0.26900000000000002</v>
      </c>
    </row>
    <row r="16" spans="2:11" x14ac:dyDescent="0.15">
      <c r="C16" s="18"/>
      <c r="D16" s="18"/>
      <c r="E16" s="18"/>
      <c r="G16" s="37"/>
      <c r="H16" s="37"/>
      <c r="I16" s="37"/>
      <c r="J16" s="37"/>
      <c r="K16" s="37"/>
    </row>
    <row r="17" spans="2:11" x14ac:dyDescent="0.15">
      <c r="B17" s="11" t="s">
        <v>58</v>
      </c>
      <c r="C17" s="18">
        <f>'BS source'!D12</f>
        <v>17683.2</v>
      </c>
      <c r="D17" s="18">
        <f>'BS source'!E12</f>
        <v>22718.400000000001</v>
      </c>
      <c r="E17" s="18">
        <f>'BS source'!F12</f>
        <v>35205.599999999999</v>
      </c>
      <c r="G17" s="19">
        <f>G18*'IS assumptions'!G9</f>
        <v>38506.036800000002</v>
      </c>
      <c r="H17" s="19">
        <f>H18*'IS assumptions'!H9</f>
        <v>42356.640480000002</v>
      </c>
      <c r="I17" s="19">
        <f>I18*'IS assumptions'!I9</f>
        <v>46592.304528000015</v>
      </c>
      <c r="J17" s="19">
        <f>J18*'IS assumptions'!J9</f>
        <v>51251.534980800025</v>
      </c>
      <c r="K17" s="19">
        <f>K18*'IS assumptions'!K9</f>
        <v>56376.688478880031</v>
      </c>
    </row>
    <row r="18" spans="2:11" x14ac:dyDescent="0.15">
      <c r="B18" s="32" t="s">
        <v>57</v>
      </c>
      <c r="C18" s="35">
        <f>C17/'IS assumptions'!C9</f>
        <v>4.9895317799360059E-2</v>
      </c>
      <c r="D18" s="35">
        <f>D17/'IS assumptions'!D9</f>
        <v>6.0223308485934539E-2</v>
      </c>
      <c r="E18" s="35">
        <f>E17/'IS assumptions'!E9</f>
        <v>8.4480193505658316E-2</v>
      </c>
      <c r="G18" s="38">
        <v>8.4000000000000005E-2</v>
      </c>
      <c r="H18" s="38">
        <v>8.4000000000000005E-2</v>
      </c>
      <c r="I18" s="38">
        <v>8.4000000000000005E-2</v>
      </c>
      <c r="J18" s="38">
        <v>8.4000000000000005E-2</v>
      </c>
      <c r="K18" s="38">
        <v>8.4000000000000005E-2</v>
      </c>
    </row>
    <row r="19" spans="2:11" x14ac:dyDescent="0.15">
      <c r="C19" s="18"/>
      <c r="D19" s="18"/>
      <c r="E19" s="18"/>
      <c r="G19" s="34"/>
      <c r="H19" s="34"/>
      <c r="I19" s="34"/>
      <c r="J19" s="34"/>
      <c r="K19" s="34"/>
    </row>
    <row r="20" spans="2:11" x14ac:dyDescent="0.15">
      <c r="B20" s="11" t="s">
        <v>59</v>
      </c>
      <c r="C20" s="18">
        <f>'BS source'!J11+'BS source'!J12+'BS source'!J13</f>
        <v>11938.077333333378</v>
      </c>
      <c r="D20" s="18">
        <f>'BS source'!K11+'BS source'!K12+'BS source'!K13</f>
        <v>11600.71200000002</v>
      </c>
      <c r="E20" s="18">
        <f>'BS source'!L11+'BS source'!L12+'BS source'!L13</f>
        <v>16946.89285079408</v>
      </c>
      <c r="F20" s="18">
        <f>'BS source'!M11+'BS source'!M12+'BS source'!M13</f>
        <v>0</v>
      </c>
      <c r="G20" s="19">
        <f>G21*'IS assumptions'!G9</f>
        <v>14210.5612</v>
      </c>
      <c r="H20" s="19">
        <f>H21*'IS assumptions'!H9</f>
        <v>15631.617320000001</v>
      </c>
      <c r="I20" s="19">
        <f>I21*'IS assumptions'!I9</f>
        <v>17194.779052000005</v>
      </c>
      <c r="J20" s="19">
        <f>J21*'IS assumptions'!J9</f>
        <v>18914.256957200007</v>
      </c>
      <c r="K20" s="19">
        <f>K21*'IS assumptions'!K9</f>
        <v>20805.682652920008</v>
      </c>
    </row>
    <row r="21" spans="2:11" x14ac:dyDescent="0.15">
      <c r="B21" s="32" t="s">
        <v>57</v>
      </c>
      <c r="C21" s="35">
        <f>C20/'IS assumptions'!C9</f>
        <v>3.368474950574589E-2</v>
      </c>
      <c r="D21" s="35">
        <f>D20/'IS assumptions'!D9</f>
        <v>3.0751868856630914E-2</v>
      </c>
      <c r="E21" s="35">
        <f>E20/'IS assumptions'!E9</f>
        <v>4.0666166387016305E-2</v>
      </c>
      <c r="G21" s="38">
        <v>3.1E-2</v>
      </c>
      <c r="H21" s="38">
        <v>3.1E-2</v>
      </c>
      <c r="I21" s="38">
        <v>3.1E-2</v>
      </c>
      <c r="J21" s="38">
        <v>3.1E-2</v>
      </c>
      <c r="K21" s="38">
        <v>3.1E-2</v>
      </c>
    </row>
    <row r="40" spans="5:8" x14ac:dyDescent="0.15">
      <c r="H40" s="39"/>
    </row>
    <row r="46" spans="5:8" x14ac:dyDescent="0.15">
      <c r="E46" s="39"/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0297A-E8FD-4E1D-9264-E0FED4ED12DE}">
  <sheetPr>
    <tabColor rgb="FF002060"/>
  </sheetPr>
  <dimension ref="B1:B11"/>
  <sheetViews>
    <sheetView zoomScale="130" zoomScaleNormal="130" workbookViewId="0">
      <selection activeCell="C21" sqref="C21"/>
    </sheetView>
  </sheetViews>
  <sheetFormatPr baseColWidth="10" defaultColWidth="9.1640625" defaultRowHeight="12" x14ac:dyDescent="0.15"/>
  <cols>
    <col min="1" max="1" width="2" style="2" customWidth="1"/>
    <col min="2" max="16384" width="9.1640625" style="2"/>
  </cols>
  <sheetData>
    <row r="1" spans="2:2" ht="16" x14ac:dyDescent="0.2">
      <c r="B1" s="1"/>
    </row>
    <row r="11" spans="2:2" ht="40" x14ac:dyDescent="0.4">
      <c r="B11" s="9" t="s">
        <v>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D6FD9-1702-46AB-9CEA-EFF187198BA7}">
  <dimension ref="B1:N56"/>
  <sheetViews>
    <sheetView zoomScale="130" zoomScaleNormal="130" workbookViewId="0">
      <selection activeCell="C7" sqref="C7"/>
    </sheetView>
  </sheetViews>
  <sheetFormatPr baseColWidth="10" defaultColWidth="9.1640625" defaultRowHeight="12" x14ac:dyDescent="0.15"/>
  <cols>
    <col min="1" max="1" width="2" style="11" customWidth="1"/>
    <col min="2" max="2" width="18.33203125" style="11" bestFit="1" customWidth="1"/>
    <col min="3" max="3" width="10.5" style="11" bestFit="1" customWidth="1"/>
    <col min="4" max="4" width="9.1640625" style="11" customWidth="1"/>
    <col min="5" max="5" width="10" style="11" bestFit="1" customWidth="1"/>
    <col min="6" max="6" width="2" style="11" customWidth="1"/>
    <col min="7" max="7" width="10.5" style="11" bestFit="1" customWidth="1"/>
    <col min="8" max="11" width="9.5" style="11" bestFit="1" customWidth="1"/>
    <col min="12" max="12" width="2" style="11" customWidth="1"/>
    <col min="13" max="13" width="9.1640625" style="11" customWidth="1"/>
    <col min="14" max="15" width="9.1640625" style="11"/>
    <col min="16" max="16" width="9.1640625" style="11" customWidth="1"/>
    <col min="17" max="16384" width="9.1640625" style="11"/>
  </cols>
  <sheetData>
    <row r="1" spans="2:11" ht="16" x14ac:dyDescent="0.2">
      <c r="B1" s="10" t="s">
        <v>60</v>
      </c>
    </row>
    <row r="3" spans="2:11" ht="27" thickBot="1" x14ac:dyDescent="0.2">
      <c r="B3" s="14" t="s">
        <v>27</v>
      </c>
      <c r="C3" s="15" t="s">
        <v>28</v>
      </c>
      <c r="D3" s="15" t="s">
        <v>29</v>
      </c>
      <c r="E3" s="15" t="s">
        <v>30</v>
      </c>
      <c r="F3" s="16"/>
      <c r="G3" s="17" t="s">
        <v>31</v>
      </c>
      <c r="H3" s="17" t="s">
        <v>32</v>
      </c>
      <c r="I3" s="17" t="s">
        <v>33</v>
      </c>
      <c r="J3" s="17" t="s">
        <v>34</v>
      </c>
      <c r="K3" s="17" t="s">
        <v>35</v>
      </c>
    </row>
    <row r="4" spans="2:11" x14ac:dyDescent="0.15">
      <c r="B4" s="11" t="str">
        <f>'IS assumptions'!B9</f>
        <v>Revenues</v>
      </c>
      <c r="C4" s="18">
        <f>'IS assumptions'!C9</f>
        <v>354406</v>
      </c>
      <c r="D4" s="18">
        <f>'IS assumptions'!D9</f>
        <v>377236</v>
      </c>
      <c r="E4" s="18">
        <f>'IS assumptions'!E9</f>
        <v>416732</v>
      </c>
      <c r="F4" s="18">
        <f>'IS assumptions'!F9</f>
        <v>0</v>
      </c>
      <c r="G4" s="19">
        <f>'IS assumptions'!G9</f>
        <v>458405.2</v>
      </c>
      <c r="H4" s="19">
        <f>'IS assumptions'!H9</f>
        <v>504245.72000000003</v>
      </c>
      <c r="I4" s="19">
        <f>'IS assumptions'!I9</f>
        <v>554670.29200000013</v>
      </c>
      <c r="J4" s="19">
        <f>'IS assumptions'!J9</f>
        <v>610137.32120000024</v>
      </c>
      <c r="K4" s="19">
        <f>'IS assumptions'!K9</f>
        <v>671151.0533200003</v>
      </c>
    </row>
    <row r="5" spans="2:11" x14ac:dyDescent="0.15">
      <c r="B5" s="40" t="str">
        <f>'IS assumptions'!B15</f>
        <v>Other Revenue</v>
      </c>
      <c r="C5" s="41">
        <f>'IS assumptions'!C15</f>
        <v>7040</v>
      </c>
      <c r="D5" s="41">
        <f>'IS assumptions'!D15</f>
        <v>4832</v>
      </c>
      <c r="E5" s="41">
        <f>'IS assumptions'!E15</f>
        <v>5170</v>
      </c>
      <c r="F5" s="41">
        <f>'IS assumptions'!F15</f>
        <v>0</v>
      </c>
      <c r="G5" s="42">
        <f>'IS assumptions'!G15</f>
        <v>5680.7</v>
      </c>
      <c r="H5" s="42">
        <f>'IS assumptions'!H15</f>
        <v>5680.7</v>
      </c>
      <c r="I5" s="42">
        <f>'IS assumptions'!I15</f>
        <v>5680.7</v>
      </c>
      <c r="J5" s="42">
        <f>'IS assumptions'!J15</f>
        <v>5680.7</v>
      </c>
      <c r="K5" s="42">
        <f>'IS assumptions'!K15</f>
        <v>5680.7</v>
      </c>
    </row>
    <row r="6" spans="2:11" x14ac:dyDescent="0.15">
      <c r="B6" s="43" t="s">
        <v>61</v>
      </c>
      <c r="C6" s="44">
        <f>C4+C5</f>
        <v>361446</v>
      </c>
      <c r="D6" s="44">
        <f t="shared" ref="D6:K6" si="0">D4+D5</f>
        <v>382068</v>
      </c>
      <c r="E6" s="44">
        <f t="shared" si="0"/>
        <v>421902</v>
      </c>
      <c r="F6" s="44">
        <f t="shared" si="0"/>
        <v>0</v>
      </c>
      <c r="G6" s="45">
        <f t="shared" si="0"/>
        <v>464085.9</v>
      </c>
      <c r="H6" s="45">
        <f t="shared" si="0"/>
        <v>509926.42000000004</v>
      </c>
      <c r="I6" s="45">
        <f t="shared" si="0"/>
        <v>560350.99200000009</v>
      </c>
      <c r="J6" s="45">
        <f t="shared" si="0"/>
        <v>615818.02120000019</v>
      </c>
      <c r="K6" s="45">
        <f t="shared" si="0"/>
        <v>676831.75332000025</v>
      </c>
    </row>
    <row r="7" spans="2:11" ht="5" customHeight="1" x14ac:dyDescent="0.15">
      <c r="C7" s="18"/>
      <c r="D7" s="18"/>
      <c r="E7" s="18"/>
      <c r="G7" s="19"/>
      <c r="H7" s="19"/>
      <c r="I7" s="19"/>
      <c r="J7" s="19"/>
      <c r="K7" s="19"/>
    </row>
    <row r="8" spans="2:11" x14ac:dyDescent="0.15">
      <c r="B8" s="40" t="str">
        <f>'IS assumptions'!B21</f>
        <v>COGS</v>
      </c>
      <c r="C8" s="46">
        <f>'IS assumptions'!C21</f>
        <v>-284788.734933334</v>
      </c>
      <c r="D8" s="46">
        <f>'IS assumptions'!D21</f>
        <v>-301144.33279999997</v>
      </c>
      <c r="E8" s="46">
        <f>'IS assumptions'!E21</f>
        <v>-315046.236850794</v>
      </c>
      <c r="F8" s="46">
        <f>'IS assumptions'!F21</f>
        <v>0</v>
      </c>
      <c r="G8" s="47">
        <f>'IS assumptions'!G21</f>
        <v>-348387.95199999999</v>
      </c>
      <c r="H8" s="47">
        <f>'IS assumptions'!H21</f>
        <v>-383226.74720000004</v>
      </c>
      <c r="I8" s="47">
        <f>'IS assumptions'!I21</f>
        <v>-421549.42192000011</v>
      </c>
      <c r="J8" s="47">
        <f>'IS assumptions'!J21</f>
        <v>-463704.36411200021</v>
      </c>
      <c r="K8" s="47">
        <f>'IS assumptions'!K21</f>
        <v>-510074.80052320025</v>
      </c>
    </row>
    <row r="9" spans="2:11" x14ac:dyDescent="0.15">
      <c r="B9" s="43" t="s">
        <v>62</v>
      </c>
      <c r="C9" s="43">
        <f>C6+C8</f>
        <v>76657.265066666005</v>
      </c>
      <c r="D9" s="43">
        <f t="shared" ref="D9:K9" si="1">D6+D8</f>
        <v>80923.667200000025</v>
      </c>
      <c r="E9" s="43">
        <f t="shared" si="1"/>
        <v>106855.763149206</v>
      </c>
      <c r="F9" s="43">
        <f t="shared" si="1"/>
        <v>0</v>
      </c>
      <c r="G9" s="48">
        <f t="shared" si="1"/>
        <v>115697.94800000003</v>
      </c>
      <c r="H9" s="48">
        <f t="shared" si="1"/>
        <v>126699.6728</v>
      </c>
      <c r="I9" s="48">
        <f t="shared" si="1"/>
        <v>138801.57007999998</v>
      </c>
      <c r="J9" s="48">
        <f t="shared" si="1"/>
        <v>152113.65708799998</v>
      </c>
      <c r="K9" s="48">
        <f t="shared" si="1"/>
        <v>166756.9527968</v>
      </c>
    </row>
    <row r="10" spans="2:11" ht="4.25" customHeight="1" x14ac:dyDescent="0.15">
      <c r="C10" s="18"/>
      <c r="D10" s="18"/>
      <c r="E10" s="18"/>
      <c r="F10" s="18"/>
      <c r="G10" s="19"/>
      <c r="H10" s="19"/>
      <c r="I10" s="19"/>
      <c r="J10" s="19"/>
      <c r="K10" s="19"/>
    </row>
    <row r="11" spans="2:11" x14ac:dyDescent="0.15">
      <c r="B11" s="40" t="str">
        <f>'IS assumptions'!B27</f>
        <v>Opex</v>
      </c>
      <c r="C11" s="46">
        <f>'IS assumptions'!C27</f>
        <v>-36022.630400000002</v>
      </c>
      <c r="D11" s="46">
        <f>'IS assumptions'!D27</f>
        <v>-38495.795199999993</v>
      </c>
      <c r="E11" s="46">
        <f>'IS assumptions'!E27</f>
        <v>-47734.016000000003</v>
      </c>
      <c r="F11" s="46">
        <f>'IS assumptions'!F27</f>
        <v>0</v>
      </c>
      <c r="G11" s="47">
        <f>'IS assumptions'!G27</f>
        <v>-45840.520000000004</v>
      </c>
      <c r="H11" s="47">
        <f>'IS assumptions'!H27</f>
        <v>-50424.572000000007</v>
      </c>
      <c r="I11" s="47">
        <f>'IS assumptions'!I27</f>
        <v>-55467.029200000019</v>
      </c>
      <c r="J11" s="47">
        <f>'IS assumptions'!J27</f>
        <v>-61013.73212000003</v>
      </c>
      <c r="K11" s="47">
        <f>'IS assumptions'!K27</f>
        <v>-67115.105332000036</v>
      </c>
    </row>
    <row r="12" spans="2:11" x14ac:dyDescent="0.15">
      <c r="B12" s="43" t="s">
        <v>63</v>
      </c>
      <c r="C12" s="44">
        <f>C9+C11</f>
        <v>40634.634666666003</v>
      </c>
      <c r="D12" s="44">
        <f t="shared" ref="D12:K12" si="2">D9+D11</f>
        <v>42427.872000000032</v>
      </c>
      <c r="E12" s="44">
        <f t="shared" si="2"/>
        <v>59121.747149205999</v>
      </c>
      <c r="F12" s="44">
        <f t="shared" si="2"/>
        <v>0</v>
      </c>
      <c r="G12" s="45">
        <f t="shared" si="2"/>
        <v>69857.428000000029</v>
      </c>
      <c r="H12" s="45">
        <f t="shared" si="2"/>
        <v>76275.100799999986</v>
      </c>
      <c r="I12" s="45">
        <f t="shared" si="2"/>
        <v>83334.540879999957</v>
      </c>
      <c r="J12" s="45">
        <f t="shared" si="2"/>
        <v>91099.924967999948</v>
      </c>
      <c r="K12" s="45">
        <f t="shared" si="2"/>
        <v>99641.847464799968</v>
      </c>
    </row>
    <row r="13" spans="2:11" ht="6" customHeight="1" x14ac:dyDescent="0.15">
      <c r="C13" s="18"/>
      <c r="D13" s="18"/>
      <c r="E13" s="18"/>
      <c r="F13" s="18"/>
      <c r="G13" s="19"/>
      <c r="H13" s="19"/>
      <c r="I13" s="19"/>
      <c r="J13" s="19"/>
      <c r="K13" s="19"/>
    </row>
    <row r="14" spans="2:11" x14ac:dyDescent="0.15">
      <c r="B14" s="40" t="str">
        <f>'IS assumptions'!B33</f>
        <v>D&amp;A</v>
      </c>
      <c r="C14" s="46">
        <f>'IS assumptions'!C33</f>
        <v>-5815.6</v>
      </c>
      <c r="D14" s="46">
        <f>'IS assumptions'!D33</f>
        <v>-9299.6</v>
      </c>
      <c r="E14" s="46">
        <f>'IS assumptions'!E33</f>
        <v>-12861.32</v>
      </c>
      <c r="F14" s="46">
        <f>'IS assumptions'!F33</f>
        <v>0</v>
      </c>
      <c r="G14" s="47">
        <f>'IS assumptions'!G33</f>
        <v>-9168.1040000000012</v>
      </c>
      <c r="H14" s="47">
        <f>'IS assumptions'!H33</f>
        <v>-10084.914400000001</v>
      </c>
      <c r="I14" s="47">
        <f>'IS assumptions'!I33</f>
        <v>-11093.405840000003</v>
      </c>
      <c r="J14" s="47">
        <f>'IS assumptions'!J33</f>
        <v>-12202.746424000004</v>
      </c>
      <c r="K14" s="47">
        <f>'IS assumptions'!K33</f>
        <v>-13423.021066400006</v>
      </c>
    </row>
    <row r="15" spans="2:11" ht="12" customHeight="1" x14ac:dyDescent="0.15">
      <c r="B15" s="43" t="s">
        <v>64</v>
      </c>
      <c r="C15" s="44">
        <f>C12+C14</f>
        <v>34819.034666666004</v>
      </c>
      <c r="D15" s="44">
        <f t="shared" ref="D15:K15" si="3">D12+D14</f>
        <v>33128.272000000034</v>
      </c>
      <c r="E15" s="44">
        <f t="shared" si="3"/>
        <v>46260.427149206</v>
      </c>
      <c r="F15" s="44">
        <f t="shared" si="3"/>
        <v>0</v>
      </c>
      <c r="G15" s="45">
        <f t="shared" si="3"/>
        <v>60689.32400000003</v>
      </c>
      <c r="H15" s="45">
        <f t="shared" si="3"/>
        <v>66190.186399999977</v>
      </c>
      <c r="I15" s="45">
        <f t="shared" si="3"/>
        <v>72241.13503999995</v>
      </c>
      <c r="J15" s="45">
        <f t="shared" si="3"/>
        <v>78897.178543999937</v>
      </c>
      <c r="K15" s="45">
        <f t="shared" si="3"/>
        <v>86218.826398399964</v>
      </c>
    </row>
    <row r="16" spans="2:11" ht="6.5" customHeight="1" x14ac:dyDescent="0.15">
      <c r="C16" s="18"/>
      <c r="D16" s="18"/>
      <c r="E16" s="18"/>
      <c r="F16" s="18"/>
      <c r="G16" s="19"/>
      <c r="H16" s="19"/>
      <c r="I16" s="19"/>
      <c r="J16" s="19"/>
      <c r="K16" s="19"/>
    </row>
    <row r="17" spans="2:14" ht="12" customHeight="1" x14ac:dyDescent="0.15">
      <c r="B17" s="11" t="str">
        <f>'IS assumptions'!B39</f>
        <v>Interest Expense</v>
      </c>
      <c r="C17" s="18">
        <f>'IS assumptions'!C39</f>
        <v>-2532.6</v>
      </c>
      <c r="D17" s="18">
        <f>'IS assumptions'!D39</f>
        <v>-4381.8</v>
      </c>
      <c r="E17" s="18">
        <f>'IS assumptions'!E39</f>
        <v>-5327.84</v>
      </c>
      <c r="F17" s="18">
        <f>'IS assumptions'!F39</f>
        <v>0</v>
      </c>
      <c r="G17" s="19">
        <f>'IS assumptions'!G39</f>
        <v>-5327.84</v>
      </c>
      <c r="H17" s="19">
        <f>'IS assumptions'!H39</f>
        <v>-5327.84</v>
      </c>
      <c r="I17" s="19">
        <f>'IS assumptions'!I39</f>
        <v>-5327.84</v>
      </c>
      <c r="J17" s="19">
        <f>'IS assumptions'!J39</f>
        <v>-5327.84</v>
      </c>
      <c r="K17" s="19">
        <f>'IS assumptions'!K39</f>
        <v>-5327.84</v>
      </c>
    </row>
    <row r="18" spans="2:14" ht="12" customHeight="1" x14ac:dyDescent="0.15">
      <c r="B18" s="40" t="str">
        <f>'IS assumptions'!B45</f>
        <v>Extraordinary Items</v>
      </c>
      <c r="C18" s="46">
        <f>'IS assumptions'!C45</f>
        <v>-635.16</v>
      </c>
      <c r="D18" s="46">
        <f>'IS assumptions'!D45</f>
        <v>-1728.6</v>
      </c>
      <c r="E18" s="46">
        <f>'IS assumptions'!E45</f>
        <v>-640.52</v>
      </c>
      <c r="F18" s="46">
        <f>'IS assumptions'!F45</f>
        <v>0</v>
      </c>
      <c r="G18" s="47">
        <f>'IS assumptions'!G45</f>
        <v>0</v>
      </c>
      <c r="H18" s="47">
        <f>'IS assumptions'!H45</f>
        <v>0</v>
      </c>
      <c r="I18" s="47">
        <f>'IS assumptions'!I45</f>
        <v>0</v>
      </c>
      <c r="J18" s="47">
        <f>'IS assumptions'!J45</f>
        <v>0</v>
      </c>
      <c r="K18" s="47">
        <f>'IS assumptions'!K45</f>
        <v>0</v>
      </c>
      <c r="N18" s="11">
        <f>G5-5170</f>
        <v>510.69999999999982</v>
      </c>
    </row>
    <row r="19" spans="2:14" x14ac:dyDescent="0.15">
      <c r="B19" s="43" t="s">
        <v>65</v>
      </c>
      <c r="C19" s="44">
        <f>C15+C17+C18</f>
        <v>31651.274666666006</v>
      </c>
      <c r="D19" s="44">
        <f t="shared" ref="D19:K19" si="4">D15+D17+D18</f>
        <v>27017.872000000036</v>
      </c>
      <c r="E19" s="44">
        <f t="shared" si="4"/>
        <v>40292.067149205999</v>
      </c>
      <c r="F19" s="44">
        <f t="shared" si="4"/>
        <v>0</v>
      </c>
      <c r="G19" s="45">
        <f t="shared" si="4"/>
        <v>55361.484000000026</v>
      </c>
      <c r="H19" s="45">
        <f t="shared" si="4"/>
        <v>60862.34639999998</v>
      </c>
      <c r="I19" s="45">
        <f t="shared" si="4"/>
        <v>66913.295039999954</v>
      </c>
      <c r="J19" s="45">
        <f t="shared" si="4"/>
        <v>73569.33854399994</v>
      </c>
      <c r="K19" s="45">
        <f t="shared" si="4"/>
        <v>80890.986398399968</v>
      </c>
    </row>
    <row r="20" spans="2:14" ht="5" customHeight="1" x14ac:dyDescent="0.15">
      <c r="C20" s="49"/>
      <c r="D20" s="49"/>
      <c r="E20" s="49"/>
      <c r="F20" s="18"/>
      <c r="G20" s="19"/>
      <c r="H20" s="19"/>
      <c r="I20" s="19"/>
      <c r="J20" s="19"/>
      <c r="K20" s="19"/>
    </row>
    <row r="21" spans="2:14" x14ac:dyDescent="0.15">
      <c r="B21" s="11" t="s">
        <v>66</v>
      </c>
      <c r="C21" s="26">
        <f>C22/C19</f>
        <v>-0.24048168928931685</v>
      </c>
      <c r="D21" s="26">
        <f t="shared" ref="D21:E21" si="5">D22/D19</f>
        <v>-0.22579069143565386</v>
      </c>
      <c r="E21" s="26">
        <f t="shared" si="5"/>
        <v>-0.189361344300012</v>
      </c>
      <c r="F21" s="18"/>
      <c r="G21" s="25">
        <f>-'IS assumptions'!G52</f>
        <v>0.18</v>
      </c>
      <c r="H21" s="25">
        <f>-'IS assumptions'!H52</f>
        <v>0.18</v>
      </c>
      <c r="I21" s="25">
        <f>-'IS assumptions'!I52</f>
        <v>0.18</v>
      </c>
      <c r="J21" s="25">
        <f>-'IS assumptions'!J52</f>
        <v>0.18</v>
      </c>
      <c r="K21" s="25">
        <f>-'IS assumptions'!K52</f>
        <v>0.18</v>
      </c>
    </row>
    <row r="22" spans="2:14" x14ac:dyDescent="0.15">
      <c r="B22" s="11" t="s">
        <v>48</v>
      </c>
      <c r="C22" s="18">
        <f>'IS assumptions'!C51</f>
        <v>-7611.5519999999997</v>
      </c>
      <c r="D22" s="18">
        <f>'IS assumptions'!D51</f>
        <v>-6100.384</v>
      </c>
      <c r="E22" s="18">
        <f>'IS assumptions'!E51</f>
        <v>-7629.76</v>
      </c>
      <c r="F22" s="18">
        <f>'IS assumptions'!F51</f>
        <v>0</v>
      </c>
      <c r="G22" s="19">
        <f>-G19*G21</f>
        <v>-9965.0671200000052</v>
      </c>
      <c r="H22" s="19">
        <f t="shared" ref="H22:K22" si="6">-H19*H21</f>
        <v>-10955.222351999995</v>
      </c>
      <c r="I22" s="19">
        <f t="shared" si="6"/>
        <v>-12044.39310719999</v>
      </c>
      <c r="J22" s="19">
        <f t="shared" si="6"/>
        <v>-13242.480937919989</v>
      </c>
      <c r="K22" s="19">
        <f t="shared" si="6"/>
        <v>-14560.377551711994</v>
      </c>
    </row>
    <row r="23" spans="2:14" ht="6.5" customHeight="1" x14ac:dyDescent="0.15">
      <c r="C23" s="50"/>
      <c r="D23" s="50"/>
      <c r="E23" s="50"/>
      <c r="F23" s="51"/>
      <c r="G23" s="19"/>
      <c r="H23" s="19"/>
      <c r="I23" s="19"/>
      <c r="J23" s="19"/>
      <c r="K23" s="19"/>
    </row>
    <row r="24" spans="2:14" x14ac:dyDescent="0.15">
      <c r="B24" s="12" t="s">
        <v>67</v>
      </c>
      <c r="C24" s="52">
        <f>C19+C22</f>
        <v>24039.722666666006</v>
      </c>
      <c r="D24" s="52">
        <f t="shared" ref="D24:K24" si="7">D19+D22</f>
        <v>20917.488000000034</v>
      </c>
      <c r="E24" s="52">
        <f t="shared" si="7"/>
        <v>32662.307149205997</v>
      </c>
      <c r="F24" s="52">
        <f t="shared" si="7"/>
        <v>0</v>
      </c>
      <c r="G24" s="52">
        <f t="shared" si="7"/>
        <v>45396.416880000019</v>
      </c>
      <c r="H24" s="52">
        <f t="shared" si="7"/>
        <v>49907.124047999983</v>
      </c>
      <c r="I24" s="52">
        <f t="shared" si="7"/>
        <v>54868.901932799963</v>
      </c>
      <c r="J24" s="52">
        <f t="shared" si="7"/>
        <v>60326.857606079953</v>
      </c>
      <c r="K24" s="52">
        <f t="shared" si="7"/>
        <v>66330.608846687974</v>
      </c>
    </row>
    <row r="25" spans="2:14" x14ac:dyDescent="0.15">
      <c r="C25" s="18"/>
      <c r="D25" s="18"/>
      <c r="E25" s="18"/>
      <c r="F25" s="18"/>
    </row>
    <row r="26" spans="2:14" x14ac:dyDescent="0.15">
      <c r="C26" s="18"/>
      <c r="D26" s="18"/>
      <c r="E26" s="18"/>
      <c r="F26" s="18"/>
    </row>
    <row r="27" spans="2:14" x14ac:dyDescent="0.15">
      <c r="C27" s="18"/>
      <c r="D27" s="18"/>
      <c r="E27" s="18"/>
      <c r="F27" s="18"/>
    </row>
    <row r="28" spans="2:14" x14ac:dyDescent="0.15">
      <c r="C28" s="18"/>
      <c r="D28" s="18"/>
      <c r="E28" s="18"/>
      <c r="F28" s="18"/>
    </row>
    <row r="40" spans="5:8" x14ac:dyDescent="0.15">
      <c r="H40" s="39"/>
    </row>
    <row r="46" spans="5:8" x14ac:dyDescent="0.15">
      <c r="E46" s="39"/>
    </row>
    <row r="56" spans="2:2" x14ac:dyDescent="0.15">
      <c r="B56" s="11">
        <v>1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5359E-1DDE-456C-AE45-E7BAC0DC2FE4}">
  <dimension ref="B1:N46"/>
  <sheetViews>
    <sheetView zoomScale="130" zoomScaleNormal="130" workbookViewId="0">
      <selection activeCell="M17" sqref="M17:N22"/>
    </sheetView>
  </sheetViews>
  <sheetFormatPr baseColWidth="10" defaultColWidth="9.1640625" defaultRowHeight="12" x14ac:dyDescent="0.15"/>
  <cols>
    <col min="1" max="1" width="2" style="11" customWidth="1"/>
    <col min="2" max="2" width="24.33203125" style="11" bestFit="1" customWidth="1"/>
    <col min="3" max="3" width="9.1640625" style="11"/>
    <col min="4" max="4" width="9.5" style="11" bestFit="1" customWidth="1"/>
    <col min="5" max="5" width="9.1640625" style="11"/>
    <col min="6" max="6" width="2" style="11" customWidth="1"/>
    <col min="7" max="8" width="9.1640625" style="11"/>
    <col min="9" max="11" width="9.5" style="11" bestFit="1" customWidth="1"/>
    <col min="12" max="12" width="2" style="11" customWidth="1"/>
    <col min="13" max="13" width="10" style="11" bestFit="1" customWidth="1"/>
    <col min="14" max="16384" width="9.1640625" style="11"/>
  </cols>
  <sheetData>
    <row r="1" spans="2:11" ht="16" x14ac:dyDescent="0.2">
      <c r="B1" s="10" t="s">
        <v>68</v>
      </c>
    </row>
    <row r="3" spans="2:11" ht="27" thickBot="1" x14ac:dyDescent="0.2">
      <c r="B3" s="14" t="s">
        <v>27</v>
      </c>
      <c r="C3" s="15" t="s">
        <v>28</v>
      </c>
      <c r="D3" s="15" t="s">
        <v>29</v>
      </c>
      <c r="E3" s="15" t="s">
        <v>30</v>
      </c>
      <c r="F3" s="16"/>
      <c r="G3" s="17" t="s">
        <v>31</v>
      </c>
      <c r="H3" s="17" t="s">
        <v>32</v>
      </c>
      <c r="I3" s="17" t="s">
        <v>33</v>
      </c>
      <c r="J3" s="17" t="s">
        <v>34</v>
      </c>
      <c r="K3" s="17" t="s">
        <v>35</v>
      </c>
    </row>
    <row r="4" spans="2:11" x14ac:dyDescent="0.15">
      <c r="B4" s="11" t="str">
        <f>'BS source'!B4</f>
        <v>Intangible assets</v>
      </c>
      <c r="C4" s="18">
        <f>'BS source'!D4</f>
        <v>11923.2</v>
      </c>
      <c r="D4" s="18">
        <f>'BS source'!E4</f>
        <v>11680</v>
      </c>
      <c r="E4" s="18">
        <f>'BS source'!F4</f>
        <v>11300</v>
      </c>
      <c r="G4" s="53">
        <f>E4</f>
        <v>11300</v>
      </c>
      <c r="H4" s="53">
        <f>G4</f>
        <v>11300</v>
      </c>
      <c r="I4" s="53">
        <f t="shared" ref="I4:K4" si="0">H4</f>
        <v>11300</v>
      </c>
      <c r="J4" s="53">
        <f t="shared" si="0"/>
        <v>11300</v>
      </c>
      <c r="K4" s="53">
        <f t="shared" si="0"/>
        <v>11300</v>
      </c>
    </row>
    <row r="5" spans="2:11" x14ac:dyDescent="0.15">
      <c r="B5" s="11" t="str">
        <f>'BS source'!B5</f>
        <v>PP&amp;E</v>
      </c>
      <c r="C5" s="18">
        <f>'BS assumptions'!C14</f>
        <v>90212.800000000003</v>
      </c>
      <c r="D5" s="18">
        <f>'BS assumptions'!D14</f>
        <v>98144.8</v>
      </c>
      <c r="E5" s="18">
        <f>'BS assumptions'!E14</f>
        <v>112218.4</v>
      </c>
      <c r="F5" s="18">
        <f>'BS assumptions'!F14</f>
        <v>0</v>
      </c>
      <c r="G5" s="53">
        <f>'BS assumptions'!G14</f>
        <v>123310.99880000002</v>
      </c>
      <c r="H5" s="53">
        <f>'BS assumptions'!H14</f>
        <v>135642.09868000002</v>
      </c>
      <c r="I5" s="53">
        <f>'BS assumptions'!I14</f>
        <v>149206.30854800006</v>
      </c>
      <c r="J5" s="53">
        <f>'BS assumptions'!J14</f>
        <v>164126.93940280008</v>
      </c>
      <c r="K5" s="53">
        <f>'BS assumptions'!K14</f>
        <v>180539.63334308009</v>
      </c>
    </row>
    <row r="6" spans="2:11" x14ac:dyDescent="0.15">
      <c r="B6" s="11" t="str">
        <f>'BS source'!B6</f>
        <v>Financial assets</v>
      </c>
      <c r="C6" s="18">
        <f>'BS source'!D6</f>
        <v>17648</v>
      </c>
      <c r="D6" s="18">
        <f>'BS source'!E6</f>
        <v>19662</v>
      </c>
      <c r="E6" s="18">
        <f>'BS source'!F6</f>
        <v>20646</v>
      </c>
      <c r="G6" s="53">
        <f>E6</f>
        <v>20646</v>
      </c>
      <c r="H6" s="53">
        <f>G6</f>
        <v>20646</v>
      </c>
      <c r="I6" s="53">
        <f t="shared" ref="I6:K6" si="1">H6</f>
        <v>20646</v>
      </c>
      <c r="J6" s="53">
        <f t="shared" si="1"/>
        <v>20646</v>
      </c>
      <c r="K6" s="53">
        <f t="shared" si="1"/>
        <v>20646</v>
      </c>
    </row>
    <row r="7" spans="2:11" ht="3.75" customHeight="1" x14ac:dyDescent="0.15">
      <c r="C7" s="18"/>
      <c r="D7" s="18"/>
      <c r="E7" s="18"/>
      <c r="G7" s="53"/>
      <c r="H7" s="53"/>
      <c r="I7" s="53"/>
      <c r="J7" s="53"/>
      <c r="K7" s="53"/>
    </row>
    <row r="8" spans="2:11" x14ac:dyDescent="0.15">
      <c r="B8" s="11" t="str">
        <f>'BS source'!B10</f>
        <v>Inventory</v>
      </c>
      <c r="C8" s="18">
        <f>'BS assumptions'!C8</f>
        <v>62334.400000000001</v>
      </c>
      <c r="D8" s="18">
        <f>'BS assumptions'!D8</f>
        <v>72793.600000000006</v>
      </c>
      <c r="E8" s="18">
        <f>'BS assumptions'!E8</f>
        <v>92424</v>
      </c>
      <c r="F8" s="18">
        <f>'BS assumptions'!F8</f>
        <v>0</v>
      </c>
      <c r="G8" s="53">
        <f>'BS assumptions'!G8</f>
        <v>102205.34102395151</v>
      </c>
      <c r="H8" s="53">
        <f>'BS assumptions'!H8</f>
        <v>112425.87512634668</v>
      </c>
      <c r="I8" s="53">
        <f>'BS assumptions'!I8</f>
        <v>123668.46263898138</v>
      </c>
      <c r="J8" s="53">
        <f>'BS assumptions'!J8</f>
        <v>136035.30890287954</v>
      </c>
      <c r="K8" s="53">
        <f>'BS assumptions'!K8</f>
        <v>149638.83979316748</v>
      </c>
    </row>
    <row r="9" spans="2:11" x14ac:dyDescent="0.15">
      <c r="B9" s="11" t="str">
        <f>'BS source'!B11</f>
        <v>Trade receivables</v>
      </c>
      <c r="C9" s="18">
        <f>'BS assumptions'!C5</f>
        <v>65767.199999999997</v>
      </c>
      <c r="D9" s="18">
        <f>'BS assumptions'!D5</f>
        <v>77112</v>
      </c>
      <c r="E9" s="18">
        <f>'BS assumptions'!E5</f>
        <v>87163.199999999997</v>
      </c>
      <c r="F9" s="18">
        <f>'BS assumptions'!F5</f>
        <v>0</v>
      </c>
      <c r="G9" s="53">
        <f>'BS assumptions'!G5</f>
        <v>95879.51999999999</v>
      </c>
      <c r="H9" s="53">
        <f>'BS assumptions'!H5</f>
        <v>105467.47200000001</v>
      </c>
      <c r="I9" s="53">
        <f>'BS assumptions'!I5</f>
        <v>116014.21920000002</v>
      </c>
      <c r="J9" s="53">
        <f>'BS assumptions'!J5</f>
        <v>127615.64112000004</v>
      </c>
      <c r="K9" s="53">
        <f>'BS assumptions'!K5</f>
        <v>140377.20523200004</v>
      </c>
    </row>
    <row r="10" spans="2:11" x14ac:dyDescent="0.15">
      <c r="B10" s="11" t="str">
        <f>'BS source'!B12</f>
        <v>Other assets</v>
      </c>
      <c r="C10" s="18">
        <f>'BS assumptions'!C17</f>
        <v>17683.2</v>
      </c>
      <c r="D10" s="18">
        <f>'BS assumptions'!D17</f>
        <v>22718.400000000001</v>
      </c>
      <c r="E10" s="18">
        <f>'BS assumptions'!E17</f>
        <v>35205.599999999999</v>
      </c>
      <c r="F10" s="18">
        <f>'BS assumptions'!F17</f>
        <v>0</v>
      </c>
      <c r="G10" s="53">
        <f>'BS assumptions'!G17</f>
        <v>38506.036800000002</v>
      </c>
      <c r="H10" s="53">
        <f>'BS assumptions'!H17</f>
        <v>42356.640480000002</v>
      </c>
      <c r="I10" s="53">
        <f>'BS assumptions'!I17</f>
        <v>46592.304528000015</v>
      </c>
      <c r="J10" s="53">
        <f>'BS assumptions'!J17</f>
        <v>51251.534980800025</v>
      </c>
      <c r="K10" s="53">
        <f>'BS assumptions'!K17</f>
        <v>56376.688478880031</v>
      </c>
    </row>
    <row r="11" spans="2:11" ht="3.75" customHeight="1" x14ac:dyDescent="0.15">
      <c r="C11" s="18"/>
      <c r="D11" s="18"/>
      <c r="E11" s="18"/>
      <c r="G11" s="53"/>
      <c r="H11" s="53"/>
      <c r="I11" s="53"/>
      <c r="J11" s="53"/>
      <c r="K11" s="53"/>
    </row>
    <row r="12" spans="2:11" x14ac:dyDescent="0.15">
      <c r="B12" s="11" t="str">
        <f>'BS source'!B14</f>
        <v>Cash and equivalents</v>
      </c>
      <c r="C12" s="18">
        <f>'BS source'!D14</f>
        <v>23582.400000000001</v>
      </c>
      <c r="D12" s="18">
        <f>'BS source'!E14</f>
        <v>38817.599999999999</v>
      </c>
      <c r="E12" s="18">
        <f>'BS source'!F14</f>
        <v>16347.2</v>
      </c>
      <c r="G12" s="53">
        <v>33776.564782879301</v>
      </c>
      <c r="H12" s="53">
        <v>57118.472906246549</v>
      </c>
      <c r="I12" s="53">
        <v>82765.637321950489</v>
      </c>
      <c r="J12" s="53">
        <v>110948.58365922484</v>
      </c>
      <c r="K12" s="53">
        <v>141920.89011022673</v>
      </c>
    </row>
    <row r="13" spans="2:11" ht="3.75" customHeight="1" x14ac:dyDescent="0.15">
      <c r="G13" s="53"/>
      <c r="H13" s="53"/>
      <c r="I13" s="53"/>
      <c r="J13" s="53"/>
      <c r="K13" s="53"/>
    </row>
    <row r="14" spans="2:11" x14ac:dyDescent="0.15">
      <c r="B14" s="54" t="s">
        <v>69</v>
      </c>
      <c r="C14" s="55">
        <f>SUM(C4:C12)</f>
        <v>289151.2</v>
      </c>
      <c r="D14" s="55">
        <f t="shared" ref="D14:K14" si="2">SUM(D4:D12)</f>
        <v>340928.4</v>
      </c>
      <c r="E14" s="55">
        <f t="shared" si="2"/>
        <v>375304.39999999997</v>
      </c>
      <c r="F14" s="55">
        <f t="shared" si="2"/>
        <v>0</v>
      </c>
      <c r="G14" s="56">
        <f t="shared" si="2"/>
        <v>425624.46140683081</v>
      </c>
      <c r="H14" s="56">
        <f t="shared" si="2"/>
        <v>484956.55919259327</v>
      </c>
      <c r="I14" s="56">
        <f t="shared" si="2"/>
        <v>550192.93223693199</v>
      </c>
      <c r="J14" s="56">
        <f t="shared" si="2"/>
        <v>621924.00806570449</v>
      </c>
      <c r="K14" s="56">
        <f t="shared" si="2"/>
        <v>700799.25695735437</v>
      </c>
    </row>
    <row r="15" spans="2:11" x14ac:dyDescent="0.15">
      <c r="C15" s="18"/>
      <c r="D15" s="18"/>
      <c r="E15" s="18"/>
      <c r="F15" s="18"/>
      <c r="G15" s="53"/>
      <c r="H15" s="53"/>
      <c r="I15" s="53"/>
      <c r="J15" s="53"/>
      <c r="K15" s="53"/>
    </row>
    <row r="16" spans="2:11" x14ac:dyDescent="0.15">
      <c r="B16" s="11" t="str">
        <f>'BS source'!H10</f>
        <v>Trade payable</v>
      </c>
      <c r="C16" s="18">
        <f>'BS assumptions'!C11</f>
        <v>31782.400000000001</v>
      </c>
      <c r="D16" s="18">
        <f>'BS assumptions'!D11</f>
        <v>52703.199999999997</v>
      </c>
      <c r="E16" s="18">
        <f>'BS assumptions'!E11</f>
        <v>72379.199999999997</v>
      </c>
      <c r="F16" s="18">
        <f>'BS assumptions'!F11</f>
        <v>0</v>
      </c>
      <c r="G16" s="53">
        <f>'BS assumptions'!G11</f>
        <v>80039.176177624773</v>
      </c>
      <c r="H16" s="53">
        <f>'BS assumptions'!H11</f>
        <v>88043.093795387249</v>
      </c>
      <c r="I16" s="53">
        <f>'BS assumptions'!I11</f>
        <v>96847.403174925988</v>
      </c>
      <c r="J16" s="53">
        <f>'BS assumptions'!J11</f>
        <v>106532.1434924186</v>
      </c>
      <c r="K16" s="53">
        <f>'BS assumptions'!K11</f>
        <v>117185.35784166047</v>
      </c>
    </row>
    <row r="17" spans="2:14" x14ac:dyDescent="0.15">
      <c r="B17" s="11" t="str">
        <f>'BS source'!H11</f>
        <v>Other liabilities</v>
      </c>
      <c r="C17" s="18">
        <f>'BS assumptions'!C20</f>
        <v>11938.077333333378</v>
      </c>
      <c r="D17" s="18">
        <f>'BS assumptions'!D20</f>
        <v>11600.71200000002</v>
      </c>
      <c r="E17" s="18">
        <f>'BS assumptions'!E20</f>
        <v>16946.89285079408</v>
      </c>
      <c r="F17" s="18">
        <f>'BS assumptions'!F20</f>
        <v>0</v>
      </c>
      <c r="G17" s="53">
        <f>'BS assumptions'!G20</f>
        <v>14210.5612</v>
      </c>
      <c r="H17" s="53">
        <f>'BS assumptions'!H20</f>
        <v>15631.617320000001</v>
      </c>
      <c r="I17" s="53">
        <f>'BS assumptions'!I20</f>
        <v>17194.779052000005</v>
      </c>
      <c r="J17" s="53">
        <f>'BS assumptions'!J20</f>
        <v>18914.256957200007</v>
      </c>
      <c r="K17" s="53">
        <f>'BS assumptions'!K20</f>
        <v>20805.682652920008</v>
      </c>
    </row>
    <row r="18" spans="2:14" ht="3.75" customHeight="1" x14ac:dyDescent="0.15">
      <c r="C18" s="18"/>
      <c r="D18" s="18"/>
      <c r="E18" s="18"/>
      <c r="F18" s="18"/>
      <c r="G18" s="53"/>
      <c r="H18" s="53"/>
      <c r="I18" s="53"/>
      <c r="J18" s="53"/>
      <c r="K18" s="53"/>
    </row>
    <row r="19" spans="2:14" x14ac:dyDescent="0.15">
      <c r="B19" s="11" t="s">
        <v>70</v>
      </c>
      <c r="C19" s="18">
        <f>'BS source'!J15+'BS source'!J16</f>
        <v>82586</v>
      </c>
      <c r="D19" s="18">
        <f>'BS source'!K15+'BS source'!K16</f>
        <v>101290.8</v>
      </c>
      <c r="E19" s="18">
        <f>'BS source'!L15+'BS source'!L16</f>
        <v>102241.60000000001</v>
      </c>
      <c r="F19" s="18"/>
      <c r="G19" s="53">
        <f>E19</f>
        <v>102241.60000000001</v>
      </c>
      <c r="H19" s="53">
        <f>G19</f>
        <v>102241.60000000001</v>
      </c>
      <c r="I19" s="53">
        <f t="shared" ref="I19:K19" si="3">H19</f>
        <v>102241.60000000001</v>
      </c>
      <c r="J19" s="53">
        <f t="shared" si="3"/>
        <v>102241.60000000001</v>
      </c>
      <c r="K19" s="53">
        <f t="shared" si="3"/>
        <v>102241.60000000001</v>
      </c>
      <c r="N19" s="57"/>
    </row>
    <row r="20" spans="2:14" ht="3.75" customHeight="1" x14ac:dyDescent="0.15">
      <c r="C20" s="18"/>
      <c r="D20" s="18"/>
      <c r="E20" s="18"/>
      <c r="F20" s="18"/>
      <c r="G20" s="53"/>
      <c r="H20" s="53"/>
      <c r="I20" s="53"/>
      <c r="J20" s="53"/>
      <c r="K20" s="53"/>
    </row>
    <row r="21" spans="2:14" x14ac:dyDescent="0.15">
      <c r="B21" s="11" t="str">
        <f>'BS source'!H8</f>
        <v>Total Equity</v>
      </c>
      <c r="C21" s="18">
        <f>'BS source'!J8</f>
        <v>162844.72266666661</v>
      </c>
      <c r="D21" s="18">
        <f>'BS source'!K8</f>
        <v>175333.68800000002</v>
      </c>
      <c r="E21" s="18">
        <f>'BS source'!L8</f>
        <v>183736.70714920599</v>
      </c>
      <c r="F21" s="18"/>
      <c r="G21" s="53">
        <f>E21+IS!G24</f>
        <v>229133.124029206</v>
      </c>
      <c r="H21" s="53">
        <f>G21+IS!H24</f>
        <v>279040.24807720596</v>
      </c>
      <c r="I21" s="53">
        <f>H21+IS!I24</f>
        <v>333909.15001000592</v>
      </c>
      <c r="J21" s="53">
        <f>I21+IS!J24</f>
        <v>394236.00761608587</v>
      </c>
      <c r="K21" s="53">
        <f>J21+IS!K24</f>
        <v>460566.61646277388</v>
      </c>
    </row>
    <row r="22" spans="2:14" ht="3.75" customHeight="1" x14ac:dyDescent="0.15">
      <c r="C22" s="18"/>
      <c r="D22" s="18"/>
      <c r="E22" s="18"/>
      <c r="F22" s="18"/>
      <c r="G22" s="53"/>
      <c r="H22" s="53"/>
      <c r="I22" s="53"/>
      <c r="J22" s="53"/>
      <c r="K22" s="53"/>
    </row>
    <row r="23" spans="2:14" x14ac:dyDescent="0.15">
      <c r="B23" s="54" t="s">
        <v>71</v>
      </c>
      <c r="C23" s="55">
        <f>SUM(C16:C21)</f>
        <v>289151.19999999995</v>
      </c>
      <c r="D23" s="55">
        <f t="shared" ref="D23:K23" si="4">SUM(D16:D21)</f>
        <v>340928.4</v>
      </c>
      <c r="E23" s="55">
        <f t="shared" si="4"/>
        <v>375304.40000000008</v>
      </c>
      <c r="F23" s="55">
        <f t="shared" si="4"/>
        <v>0</v>
      </c>
      <c r="G23" s="56">
        <f t="shared" si="4"/>
        <v>425624.46140683076</v>
      </c>
      <c r="H23" s="56">
        <f t="shared" si="4"/>
        <v>484956.55919259321</v>
      </c>
      <c r="I23" s="56">
        <f t="shared" si="4"/>
        <v>550192.93223693199</v>
      </c>
      <c r="J23" s="56">
        <f t="shared" si="4"/>
        <v>621924.00806570449</v>
      </c>
      <c r="K23" s="56">
        <f t="shared" si="4"/>
        <v>700799.25695735437</v>
      </c>
    </row>
    <row r="24" spans="2:14" x14ac:dyDescent="0.15">
      <c r="G24" s="18"/>
      <c r="H24" s="18"/>
      <c r="I24" s="18"/>
      <c r="J24" s="18"/>
      <c r="K24" s="18"/>
    </row>
    <row r="25" spans="2:14" x14ac:dyDescent="0.15">
      <c r="G25" s="18"/>
      <c r="H25" s="18"/>
      <c r="I25" s="18"/>
      <c r="J25" s="18"/>
      <c r="K25" s="18"/>
    </row>
    <row r="40" spans="5:8" x14ac:dyDescent="0.15">
      <c r="H40" s="39"/>
    </row>
    <row r="46" spans="5:8" x14ac:dyDescent="0.15">
      <c r="E46" s="39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43C05-8195-4FC7-89D6-73738987AAD0}">
  <dimension ref="B1:M46"/>
  <sheetViews>
    <sheetView zoomScaleNormal="100" workbookViewId="0">
      <selection activeCell="C21" sqref="C21"/>
    </sheetView>
  </sheetViews>
  <sheetFormatPr baseColWidth="10" defaultColWidth="9.1640625" defaultRowHeight="12" x14ac:dyDescent="0.15"/>
  <cols>
    <col min="1" max="1" width="2" style="59" customWidth="1"/>
    <col min="2" max="2" width="31.5" style="59" bestFit="1" customWidth="1"/>
    <col min="3" max="3" width="14.33203125" style="59" bestFit="1" customWidth="1"/>
    <col min="4" max="5" width="9.5" style="59" bestFit="1" customWidth="1"/>
    <col min="6" max="6" width="2" style="59" customWidth="1"/>
    <col min="7" max="8" width="10.33203125" style="59" bestFit="1" customWidth="1"/>
    <col min="9" max="9" width="9.5" style="59" bestFit="1" customWidth="1"/>
    <col min="10" max="11" width="10" style="59" bestFit="1" customWidth="1"/>
    <col min="12" max="12" width="2" style="59" customWidth="1"/>
    <col min="13" max="16384" width="9.1640625" style="59"/>
  </cols>
  <sheetData>
    <row r="1" spans="2:13" ht="16" x14ac:dyDescent="0.2">
      <c r="B1" s="58" t="s">
        <v>10</v>
      </c>
      <c r="C1" s="58"/>
    </row>
    <row r="2" spans="2:13" x14ac:dyDescent="0.15">
      <c r="B2" s="59" t="s">
        <v>72</v>
      </c>
    </row>
    <row r="3" spans="2:13" ht="27" thickBot="1" x14ac:dyDescent="0.2">
      <c r="B3" s="14" t="s">
        <v>27</v>
      </c>
      <c r="C3" s="15" t="s">
        <v>28</v>
      </c>
      <c r="D3" s="15" t="s">
        <v>29</v>
      </c>
      <c r="E3" s="15" t="s">
        <v>30</v>
      </c>
      <c r="F3" s="16"/>
      <c r="G3" s="17" t="s">
        <v>31</v>
      </c>
      <c r="H3" s="17" t="s">
        <v>32</v>
      </c>
      <c r="I3" s="17" t="s">
        <v>33</v>
      </c>
      <c r="J3" s="17" t="s">
        <v>34</v>
      </c>
      <c r="K3" s="17" t="s">
        <v>35</v>
      </c>
      <c r="L3" s="11"/>
    </row>
    <row r="4" spans="2:13" x14ac:dyDescent="0.15">
      <c r="B4" s="59" t="s">
        <v>64</v>
      </c>
      <c r="D4" s="60">
        <f>IS!D15</f>
        <v>33128.272000000034</v>
      </c>
      <c r="E4" s="60">
        <f>IS!E15</f>
        <v>46260.427149206</v>
      </c>
      <c r="F4" s="60"/>
      <c r="G4" s="60">
        <f>IS!G15</f>
        <v>60689.32400000003</v>
      </c>
      <c r="H4" s="60">
        <f>IS!H15</f>
        <v>66190.186399999977</v>
      </c>
      <c r="I4" s="60">
        <f>IS!I15</f>
        <v>72241.13503999995</v>
      </c>
      <c r="J4" s="60">
        <f>IS!J15</f>
        <v>78897.178543999937</v>
      </c>
      <c r="K4" s="60">
        <f>IS!K15</f>
        <v>86218.826398399964</v>
      </c>
    </row>
    <row r="5" spans="2:13" x14ac:dyDescent="0.15">
      <c r="B5" s="59" t="s">
        <v>73</v>
      </c>
      <c r="D5" s="61">
        <f>D4*D6</f>
        <v>-7480.0554409484193</v>
      </c>
      <c r="E5" s="61">
        <f>E4*E6</f>
        <v>-8759.936672866419</v>
      </c>
      <c r="F5" s="61"/>
      <c r="G5" s="61">
        <f>G4*G6</f>
        <v>-10924.078320000004</v>
      </c>
      <c r="H5" s="61">
        <f>H4*H6</f>
        <v>-11914.233551999996</v>
      </c>
      <c r="I5" s="61">
        <f t="shared" ref="I5:K5" si="0">I4*I6</f>
        <v>-13003.404307199991</v>
      </c>
      <c r="J5" s="61">
        <f t="shared" si="0"/>
        <v>-14201.492137919988</v>
      </c>
      <c r="K5" s="61">
        <f t="shared" si="0"/>
        <v>-15519.388751711993</v>
      </c>
    </row>
    <row r="6" spans="2:13" x14ac:dyDescent="0.15">
      <c r="B6" s="62" t="s">
        <v>74</v>
      </c>
      <c r="C6" s="63"/>
      <c r="D6" s="63">
        <f>'IS assumptions'!D52</f>
        <v>-0.22579069143565386</v>
      </c>
      <c r="E6" s="63">
        <f>'IS assumptions'!E52</f>
        <v>-0.18936134430001197</v>
      </c>
      <c r="F6" s="63"/>
      <c r="G6" s="63">
        <f>'IS assumptions'!G52</f>
        <v>-0.18</v>
      </c>
      <c r="H6" s="63">
        <f>'IS assumptions'!H52</f>
        <v>-0.18</v>
      </c>
      <c r="I6" s="63">
        <f>'IS assumptions'!I52</f>
        <v>-0.18</v>
      </c>
      <c r="J6" s="63">
        <f>'IS assumptions'!J52</f>
        <v>-0.18</v>
      </c>
      <c r="K6" s="63">
        <f>'IS assumptions'!K52</f>
        <v>-0.18</v>
      </c>
    </row>
    <row r="7" spans="2:13" x14ac:dyDescent="0.15">
      <c r="B7" s="64" t="s">
        <v>75</v>
      </c>
      <c r="C7" s="43"/>
      <c r="D7" s="65">
        <f>D4+D5</f>
        <v>25648.216559051616</v>
      </c>
      <c r="E7" s="65">
        <f>E4+E5</f>
        <v>37500.490476339583</v>
      </c>
      <c r="F7" s="65"/>
      <c r="G7" s="65">
        <f>G4+G5</f>
        <v>49765.245680000022</v>
      </c>
      <c r="H7" s="65">
        <f>H4+H5</f>
        <v>54275.952847999979</v>
      </c>
      <c r="I7" s="65">
        <f t="shared" ref="I7:K7" si="1">I4+I5</f>
        <v>59237.730732799959</v>
      </c>
      <c r="J7" s="65">
        <f t="shared" si="1"/>
        <v>64695.686406079949</v>
      </c>
      <c r="K7" s="65">
        <f t="shared" si="1"/>
        <v>70699.437646687977</v>
      </c>
    </row>
    <row r="8" spans="2:13" x14ac:dyDescent="0.15">
      <c r="D8" s="60"/>
      <c r="E8" s="60"/>
      <c r="F8" s="60"/>
      <c r="G8" s="60"/>
      <c r="H8" s="60"/>
      <c r="I8" s="60"/>
      <c r="J8" s="60"/>
      <c r="K8" s="60"/>
    </row>
    <row r="9" spans="2:13" x14ac:dyDescent="0.15">
      <c r="B9" s="62" t="s">
        <v>45</v>
      </c>
      <c r="C9" s="62"/>
      <c r="D9" s="66">
        <f>-IS!D14</f>
        <v>9299.6</v>
      </c>
      <c r="E9" s="66">
        <f>-IS!E14</f>
        <v>12861.32</v>
      </c>
      <c r="F9" s="66"/>
      <c r="G9" s="66">
        <f>-IS!G14</f>
        <v>9168.1040000000012</v>
      </c>
      <c r="H9" s="66">
        <f>-IS!H14</f>
        <v>10084.914400000001</v>
      </c>
      <c r="I9" s="66">
        <f>-IS!I14</f>
        <v>11093.405840000003</v>
      </c>
      <c r="J9" s="66">
        <f>-IS!J14</f>
        <v>12202.746424000004</v>
      </c>
      <c r="K9" s="66">
        <f>-IS!K14</f>
        <v>13423.021066400006</v>
      </c>
    </row>
    <row r="10" spans="2:13" x14ac:dyDescent="0.15">
      <c r="B10" s="64" t="s">
        <v>76</v>
      </c>
      <c r="C10" s="67"/>
      <c r="D10" s="68">
        <f>D7+D9</f>
        <v>34947.816559051615</v>
      </c>
      <c r="E10" s="68">
        <f>E7+E9</f>
        <v>50361.810476339582</v>
      </c>
      <c r="F10" s="68"/>
      <c r="G10" s="68">
        <f>G7+G9</f>
        <v>58933.349680000021</v>
      </c>
      <c r="H10" s="68">
        <f>H7+H9</f>
        <v>64360.86724799998</v>
      </c>
      <c r="I10" s="68">
        <f t="shared" ref="I10:K10" si="2">I7+I9</f>
        <v>70331.136572799966</v>
      </c>
      <c r="J10" s="68">
        <f t="shared" si="2"/>
        <v>76898.432830079953</v>
      </c>
      <c r="K10" s="68">
        <f t="shared" si="2"/>
        <v>84122.458713087981</v>
      </c>
      <c r="M10" s="59" t="s">
        <v>77</v>
      </c>
    </row>
    <row r="11" spans="2:13" x14ac:dyDescent="0.15">
      <c r="B11" s="64"/>
      <c r="C11" s="64"/>
      <c r="D11" s="69"/>
      <c r="E11" s="69"/>
      <c r="F11" s="69"/>
      <c r="G11" s="69"/>
      <c r="H11" s="69"/>
      <c r="I11" s="69"/>
      <c r="J11" s="69"/>
      <c r="K11" s="69"/>
    </row>
    <row r="12" spans="2:13" x14ac:dyDescent="0.15">
      <c r="B12" s="59" t="s">
        <v>52</v>
      </c>
      <c r="C12" s="70"/>
      <c r="D12" s="60">
        <f>-BS!D8+BS!C8</f>
        <v>-10459.200000000004</v>
      </c>
      <c r="E12" s="60">
        <f>-BS!E8+BS!D8</f>
        <v>-19630.399999999994</v>
      </c>
      <c r="F12" s="60"/>
      <c r="G12" s="60">
        <f>-BS!G8+BS!E8</f>
        <v>-9781.3410239515069</v>
      </c>
      <c r="H12" s="60">
        <f>-BS!H8+BS!G8</f>
        <v>-10220.534102395177</v>
      </c>
      <c r="I12" s="60">
        <f>-BS!I8+BS!H8</f>
        <v>-11242.587512634695</v>
      </c>
      <c r="J12" s="60">
        <f>-BS!J8+BS!I8</f>
        <v>-12366.846263898158</v>
      </c>
      <c r="K12" s="60">
        <f>-BS!K8+BS!J8</f>
        <v>-13603.530890287948</v>
      </c>
    </row>
    <row r="13" spans="2:13" x14ac:dyDescent="0.15">
      <c r="B13" s="59" t="s">
        <v>50</v>
      </c>
      <c r="C13" s="70"/>
      <c r="D13" s="60">
        <f>-BS!D9+BS!C9</f>
        <v>-11344.800000000003</v>
      </c>
      <c r="E13" s="60">
        <f>-BS!E9+BS!D9</f>
        <v>-10051.199999999997</v>
      </c>
      <c r="F13" s="60"/>
      <c r="G13" s="60">
        <f>-BS!G9+BS!E9</f>
        <v>-8716.3199999999924</v>
      </c>
      <c r="H13" s="60">
        <f>-BS!H9+BS!G9</f>
        <v>-9587.9520000000193</v>
      </c>
      <c r="I13" s="60">
        <f>-BS!I9+BS!H9</f>
        <v>-10546.747200000013</v>
      </c>
      <c r="J13" s="60">
        <f>-BS!J9+BS!I9</f>
        <v>-11601.421920000023</v>
      </c>
      <c r="K13" s="60">
        <f>-BS!K9+BS!J9</f>
        <v>-12761.564111999993</v>
      </c>
    </row>
    <row r="14" spans="2:13" x14ac:dyDescent="0.15">
      <c r="B14" s="62" t="s">
        <v>54</v>
      </c>
      <c r="C14" s="71"/>
      <c r="D14" s="66">
        <f>BS!D16-BS!C16</f>
        <v>20920.799999999996</v>
      </c>
      <c r="E14" s="66">
        <f>BS!E16-BS!D16</f>
        <v>19676</v>
      </c>
      <c r="F14" s="66"/>
      <c r="G14" s="66">
        <f>BS!G16-BS!E16</f>
        <v>7659.976177624776</v>
      </c>
      <c r="H14" s="66">
        <f>BS!H16-BS!G16</f>
        <v>8003.9176177624759</v>
      </c>
      <c r="I14" s="66">
        <f>BS!I16-BS!H16</f>
        <v>8804.3093795387394</v>
      </c>
      <c r="J14" s="66">
        <f>BS!J16-BS!I16</f>
        <v>9684.7403174926148</v>
      </c>
      <c r="K14" s="66">
        <f>BS!K16-BS!J16</f>
        <v>10653.214349241869</v>
      </c>
    </row>
    <row r="15" spans="2:13" x14ac:dyDescent="0.15">
      <c r="B15" s="72" t="s">
        <v>78</v>
      </c>
      <c r="C15" s="67"/>
      <c r="D15" s="68">
        <f>SUM(D12:D14)</f>
        <v>-883.20000000001164</v>
      </c>
      <c r="E15" s="68">
        <f>SUM(E12:E14)</f>
        <v>-10005.599999999991</v>
      </c>
      <c r="F15" s="68"/>
      <c r="G15" s="68">
        <f>SUM(G12:G14)</f>
        <v>-10837.684846326723</v>
      </c>
      <c r="H15" s="68">
        <f>SUM(H12:H14)</f>
        <v>-11804.56848463272</v>
      </c>
      <c r="I15" s="68">
        <f t="shared" ref="I15:K15" si="3">SUM(I12:I14)</f>
        <v>-12985.025333095968</v>
      </c>
      <c r="J15" s="68">
        <f t="shared" si="3"/>
        <v>-14283.527866405566</v>
      </c>
      <c r="K15" s="68">
        <f t="shared" si="3"/>
        <v>-15711.880653046072</v>
      </c>
      <c r="M15" s="59" t="s">
        <v>79</v>
      </c>
    </row>
    <row r="16" spans="2:13" x14ac:dyDescent="0.15">
      <c r="B16" s="72" t="s">
        <v>80</v>
      </c>
      <c r="C16" s="67"/>
      <c r="D16" s="72">
        <f>(-BS!D10+BS!C10)-(-BS!D17+BS!C17)</f>
        <v>-5372.5653333333594</v>
      </c>
      <c r="E16" s="72">
        <f>(-BS!E10+BS!D10)-(-BS!E17+BS!D17)</f>
        <v>-7141.0191492059366</v>
      </c>
      <c r="F16" s="72"/>
      <c r="G16" s="72">
        <f>(-BS!G10+BS!E10)-(-BS!G17+BS!E17)</f>
        <v>-6036.768450794083</v>
      </c>
      <c r="H16" s="72">
        <f>(-BS!H10+BS!G10)-(-BS!H17+BS!G17)</f>
        <v>-2429.5475599999991</v>
      </c>
      <c r="I16" s="72">
        <f>(-BS!I10+BS!H10)-(-BS!I17+BS!H17)</f>
        <v>-2672.5023160000092</v>
      </c>
      <c r="J16" s="72">
        <f>(-BS!J10+BS!I10)-(-BS!J17+BS!I17)</f>
        <v>-2939.7525476000083</v>
      </c>
      <c r="K16" s="72">
        <f>(-BS!K10+BS!J10)-(-BS!K17+BS!J17)</f>
        <v>-3233.7278023600047</v>
      </c>
      <c r="M16" s="59" t="s">
        <v>81</v>
      </c>
    </row>
    <row r="17" spans="2:13" ht="12" customHeight="1" x14ac:dyDescent="0.15">
      <c r="B17" s="72"/>
      <c r="C17" s="67"/>
      <c r="D17" s="68"/>
      <c r="E17" s="68"/>
      <c r="F17" s="68"/>
      <c r="G17" s="68"/>
      <c r="H17" s="68"/>
      <c r="I17" s="68"/>
      <c r="J17" s="68"/>
      <c r="K17" s="68"/>
    </row>
    <row r="18" spans="2:13" x14ac:dyDescent="0.15">
      <c r="B18" s="72" t="s">
        <v>82</v>
      </c>
      <c r="C18" s="67"/>
      <c r="D18" s="72">
        <f>(-BS!D5+BS!C5)+IS!D14</f>
        <v>-17231.599999999999</v>
      </c>
      <c r="E18" s="72">
        <f>(-BS!E5+BS!D5)+IS!E14</f>
        <v>-26934.919999999991</v>
      </c>
      <c r="F18" s="72"/>
      <c r="G18" s="72">
        <f>(-BS!G5+BS!E5)+IS!G14</f>
        <v>-20260.702800000021</v>
      </c>
      <c r="H18" s="72">
        <f>(-BS!H5+BS!G5)+IS!H14</f>
        <v>-22416.01428000001</v>
      </c>
      <c r="I18" s="72">
        <f>(-BS!I5+BS!H5)+IS!I14</f>
        <v>-24657.615708000038</v>
      </c>
      <c r="J18" s="72">
        <f>(-BS!J5+BS!I5)+IS!J14</f>
        <v>-27123.377278800028</v>
      </c>
      <c r="K18" s="72">
        <f>(-BS!K5+BS!J5)+IS!K14</f>
        <v>-29835.71500668001</v>
      </c>
      <c r="M18" s="59" t="s">
        <v>83</v>
      </c>
    </row>
    <row r="19" spans="2:13" x14ac:dyDescent="0.15">
      <c r="B19" s="72" t="s">
        <v>84</v>
      </c>
      <c r="C19" s="43"/>
      <c r="D19" s="44">
        <f>(-BS!D4+BS!C4)+(-BS!D6+BS!C6)</f>
        <v>-1770.7999999999993</v>
      </c>
      <c r="E19" s="44">
        <f>(-BS!E4+BS!D4)+(-BS!E6+BS!D6)</f>
        <v>-604</v>
      </c>
      <c r="F19" s="44"/>
      <c r="G19" s="44">
        <f>(-BS!G4+BS!E4)+(-BS!G6+BS!E6)</f>
        <v>0</v>
      </c>
      <c r="H19" s="44">
        <f>(-BS!H4+BS!G4)+(-BS!H6+BS!G6)</f>
        <v>0</v>
      </c>
      <c r="I19" s="44">
        <f>(-BS!I4+BS!H4)+(-BS!I6+BS!H6)</f>
        <v>0</v>
      </c>
      <c r="J19" s="44">
        <f>(-BS!J4+BS!I4)+(-BS!J6+BS!I6)</f>
        <v>0</v>
      </c>
      <c r="K19" s="44">
        <f>(-BS!K4+BS!J4)+(-BS!K6+BS!J6)</f>
        <v>0</v>
      </c>
      <c r="M19" s="59" t="s">
        <v>85</v>
      </c>
    </row>
    <row r="20" spans="2:13" x14ac:dyDescent="0.15">
      <c r="B20" s="72" t="s">
        <v>47</v>
      </c>
      <c r="C20" s="67"/>
      <c r="D20" s="72">
        <f>IS!D18</f>
        <v>-1728.6</v>
      </c>
      <c r="E20" s="72">
        <f>IS!E18</f>
        <v>-640.52</v>
      </c>
      <c r="F20" s="72"/>
      <c r="G20" s="72">
        <f>IS!G18</f>
        <v>0</v>
      </c>
      <c r="H20" s="72">
        <f>IS!H18</f>
        <v>0</v>
      </c>
      <c r="I20" s="72">
        <f>IS!I18</f>
        <v>0</v>
      </c>
      <c r="J20" s="72">
        <f>IS!J18</f>
        <v>0</v>
      </c>
      <c r="K20" s="72">
        <f>IS!K18</f>
        <v>0</v>
      </c>
    </row>
    <row r="21" spans="2:13" x14ac:dyDescent="0.15">
      <c r="D21" s="60"/>
      <c r="E21" s="60"/>
      <c r="F21" s="60"/>
      <c r="G21" s="60"/>
      <c r="H21" s="60"/>
      <c r="I21" s="60"/>
      <c r="J21" s="60"/>
      <c r="K21" s="60"/>
      <c r="M21" s="59" t="s">
        <v>86</v>
      </c>
    </row>
    <row r="23" spans="2:13" x14ac:dyDescent="0.15">
      <c r="B23" s="73" t="s">
        <v>87</v>
      </c>
      <c r="C23" s="73"/>
      <c r="D23" s="74">
        <f>D10+D15+D16+D18+D19+D20</f>
        <v>7961.0512257182436</v>
      </c>
      <c r="E23" s="74">
        <f>E10+E15+E16+E18+E19+E20</f>
        <v>5035.7513271336611</v>
      </c>
      <c r="F23" s="74"/>
      <c r="G23" s="74">
        <f>G10+G15+G16+G18+G19+G20</f>
        <v>21798.193582879197</v>
      </c>
      <c r="H23" s="74">
        <f>H10+H15+H16+H18+H19+H20</f>
        <v>27710.736923367251</v>
      </c>
      <c r="I23" s="74">
        <f t="shared" ref="I23:K23" si="4">I10+I15+I16+I18+I19+I20</f>
        <v>30015.993215703947</v>
      </c>
      <c r="J23" s="74">
        <f t="shared" si="4"/>
        <v>32551.775137274351</v>
      </c>
      <c r="K23" s="74">
        <f t="shared" si="4"/>
        <v>35341.135251001891</v>
      </c>
      <c r="M23" s="59" t="s">
        <v>88</v>
      </c>
    </row>
    <row r="24" spans="2:13" x14ac:dyDescent="0.15">
      <c r="B24" s="59" t="s">
        <v>46</v>
      </c>
      <c r="D24" s="60">
        <f>IS!D17</f>
        <v>-4381.8</v>
      </c>
      <c r="E24" s="60">
        <f>IS!E17</f>
        <v>-5327.84</v>
      </c>
      <c r="F24" s="60"/>
      <c r="G24" s="60">
        <f>IS!G17</f>
        <v>-5327.84</v>
      </c>
      <c r="H24" s="60">
        <f>IS!H17</f>
        <v>-5327.84</v>
      </c>
      <c r="I24" s="60">
        <f>IS!I17</f>
        <v>-5327.84</v>
      </c>
      <c r="J24" s="60">
        <f>IS!J17</f>
        <v>-5327.84</v>
      </c>
      <c r="K24" s="60">
        <f>IS!K17</f>
        <v>-5327.84</v>
      </c>
    </row>
    <row r="25" spans="2:13" x14ac:dyDescent="0.15">
      <c r="B25" s="59" t="s">
        <v>89</v>
      </c>
      <c r="D25" s="59">
        <f>-D5+IS!D22</f>
        <v>1379.6714409484193</v>
      </c>
      <c r="E25" s="59">
        <f>-E5+IS!E22</f>
        <v>1130.1766728664188</v>
      </c>
      <c r="G25" s="59">
        <f>-G5+IS!G22</f>
        <v>959.01119999999901</v>
      </c>
      <c r="H25" s="59">
        <f>-H5+IS!H22</f>
        <v>959.01120000000083</v>
      </c>
      <c r="I25" s="59">
        <f>-I5+IS!I22</f>
        <v>959.01120000000083</v>
      </c>
      <c r="J25" s="59">
        <f>-J5+IS!J22</f>
        <v>959.01119999999901</v>
      </c>
      <c r="K25" s="59">
        <f>-K5+IS!K22</f>
        <v>959.01119999999901</v>
      </c>
    </row>
    <row r="26" spans="2:13" x14ac:dyDescent="0.15">
      <c r="B26" s="59" t="s">
        <v>90</v>
      </c>
      <c r="C26" s="75"/>
      <c r="D26" s="59">
        <f>BS!D19-BS!C19</f>
        <v>18704.800000000003</v>
      </c>
      <c r="E26" s="59">
        <f>BS!E19-BS!D19</f>
        <v>950.80000000000291</v>
      </c>
      <c r="G26" s="59">
        <f>BS!G19-BS!E19</f>
        <v>0</v>
      </c>
      <c r="H26" s="59">
        <f>BS!H19-BS!G19</f>
        <v>0</v>
      </c>
      <c r="I26" s="59">
        <f>BS!I19-BS!H19</f>
        <v>0</v>
      </c>
      <c r="J26" s="59">
        <f>BS!J19-BS!I19</f>
        <v>0</v>
      </c>
      <c r="K26" s="59">
        <f>BS!K19-BS!J19</f>
        <v>0</v>
      </c>
    </row>
    <row r="27" spans="2:13" x14ac:dyDescent="0.15">
      <c r="B27" s="59" t="s">
        <v>91</v>
      </c>
      <c r="C27" s="75"/>
      <c r="D27" s="59">
        <f>BS!D21-BS!C21-IS!D24</f>
        <v>-8428.5226666666204</v>
      </c>
      <c r="E27" s="59">
        <f>BS!E21-BS!D21-IS!E24</f>
        <v>-24259.28800000003</v>
      </c>
      <c r="G27" s="59">
        <f>BS!G21-BS!E21-IS!G24</f>
        <v>0</v>
      </c>
      <c r="H27" s="59">
        <f>BS!H21-BS!G21-IS!H24</f>
        <v>0</v>
      </c>
      <c r="I27" s="59">
        <f>BS!I21-BS!H21-IS!I24</f>
        <v>0</v>
      </c>
      <c r="J27" s="59">
        <f>BS!J21-BS!I21-IS!J24</f>
        <v>0</v>
      </c>
      <c r="K27" s="59">
        <f>BS!K21-BS!J21-IS!K24</f>
        <v>0</v>
      </c>
    </row>
    <row r="28" spans="2:13" x14ac:dyDescent="0.15">
      <c r="B28" s="73" t="s">
        <v>92</v>
      </c>
      <c r="C28" s="73"/>
      <c r="D28" s="74">
        <f>D23+D24+D25+D26+D27</f>
        <v>15235.200000000044</v>
      </c>
      <c r="E28" s="74">
        <f>E23+E24+E25+E26+E27</f>
        <v>-22470.399999999947</v>
      </c>
      <c r="F28" s="74"/>
      <c r="G28" s="74">
        <f>G23+G24+G25+G26+G27</f>
        <v>17429.364782879195</v>
      </c>
      <c r="H28" s="74">
        <f>H23+H24+H25+H26+H27</f>
        <v>23341.908123367251</v>
      </c>
      <c r="I28" s="74">
        <f t="shared" ref="I28:K28" si="5">I23+I24+I25+I26+I27</f>
        <v>25647.164415703948</v>
      </c>
      <c r="J28" s="74">
        <f t="shared" si="5"/>
        <v>28182.946337274348</v>
      </c>
      <c r="K28" s="74">
        <f t="shared" si="5"/>
        <v>30972.306451001888</v>
      </c>
    </row>
    <row r="29" spans="2:13" x14ac:dyDescent="0.15">
      <c r="B29" s="75"/>
      <c r="C29" s="75"/>
      <c r="D29" s="75"/>
      <c r="E29" s="75"/>
      <c r="F29" s="75"/>
      <c r="G29" s="75"/>
      <c r="H29" s="75"/>
      <c r="I29" s="75"/>
      <c r="J29" s="75"/>
      <c r="K29" s="75"/>
    </row>
    <row r="30" spans="2:13" x14ac:dyDescent="0.15">
      <c r="B30" s="75"/>
      <c r="C30" s="76" t="s">
        <v>93</v>
      </c>
      <c r="D30" s="59">
        <f>BS!C12</f>
        <v>23582.400000000001</v>
      </c>
      <c r="E30" s="59">
        <f>D32</f>
        <v>38817.600000000049</v>
      </c>
      <c r="F30" s="59">
        <f t="shared" ref="F30:K30" si="6">E32</f>
        <v>16347.200000000103</v>
      </c>
      <c r="G30" s="59">
        <f t="shared" si="6"/>
        <v>16347.200000000103</v>
      </c>
      <c r="H30" s="59">
        <f t="shared" si="6"/>
        <v>33776.564782879301</v>
      </c>
      <c r="I30" s="59">
        <f t="shared" si="6"/>
        <v>57118.472906246549</v>
      </c>
      <c r="J30" s="59">
        <f t="shared" si="6"/>
        <v>82765.637321950489</v>
      </c>
      <c r="K30" s="59">
        <f t="shared" si="6"/>
        <v>110948.58365922484</v>
      </c>
    </row>
    <row r="31" spans="2:13" x14ac:dyDescent="0.15">
      <c r="B31" s="75"/>
      <c r="C31" s="76" t="s">
        <v>94</v>
      </c>
      <c r="D31" s="59">
        <f>D28</f>
        <v>15235.200000000044</v>
      </c>
      <c r="E31" s="59">
        <f t="shared" ref="E31:K31" si="7">E28</f>
        <v>-22470.399999999947</v>
      </c>
      <c r="F31" s="59">
        <f t="shared" si="7"/>
        <v>0</v>
      </c>
      <c r="G31" s="59">
        <f t="shared" si="7"/>
        <v>17429.364782879195</v>
      </c>
      <c r="H31" s="59">
        <f t="shared" si="7"/>
        <v>23341.908123367251</v>
      </c>
      <c r="I31" s="59">
        <f t="shared" si="7"/>
        <v>25647.164415703948</v>
      </c>
      <c r="J31" s="59">
        <f t="shared" si="7"/>
        <v>28182.946337274348</v>
      </c>
      <c r="K31" s="59">
        <f t="shared" si="7"/>
        <v>30972.306451001888</v>
      </c>
    </row>
    <row r="32" spans="2:13" x14ac:dyDescent="0.15">
      <c r="B32" s="75"/>
      <c r="C32" s="77" t="s">
        <v>95</v>
      </c>
      <c r="D32" s="59">
        <f>D30+D31</f>
        <v>38817.600000000049</v>
      </c>
      <c r="E32" s="59">
        <f t="shared" ref="E32:K32" si="8">E30+E31</f>
        <v>16347.200000000103</v>
      </c>
      <c r="F32" s="59">
        <f t="shared" si="8"/>
        <v>16347.200000000103</v>
      </c>
      <c r="G32" s="59">
        <f t="shared" si="8"/>
        <v>33776.564782879301</v>
      </c>
      <c r="H32" s="59">
        <f t="shared" si="8"/>
        <v>57118.472906246549</v>
      </c>
      <c r="I32" s="59">
        <f t="shared" si="8"/>
        <v>82765.637321950489</v>
      </c>
      <c r="J32" s="59">
        <f t="shared" si="8"/>
        <v>110948.58365922484</v>
      </c>
      <c r="K32" s="59">
        <f t="shared" si="8"/>
        <v>141920.89011022673</v>
      </c>
    </row>
    <row r="33" spans="3:8" x14ac:dyDescent="0.15">
      <c r="C33" s="2"/>
    </row>
    <row r="34" spans="3:8" x14ac:dyDescent="0.15">
      <c r="C34" s="2"/>
    </row>
    <row r="35" spans="3:8" x14ac:dyDescent="0.15">
      <c r="C35" s="2"/>
    </row>
    <row r="40" spans="3:8" x14ac:dyDescent="0.15">
      <c r="H40" s="78"/>
    </row>
    <row r="46" spans="3:8" x14ac:dyDescent="0.15">
      <c r="E46" s="78"/>
    </row>
  </sheetData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D2867-8DEB-4AD6-8F54-BC548C84DA4C}">
  <dimension ref="B1:M32"/>
  <sheetViews>
    <sheetView zoomScale="160" zoomScaleNormal="160" workbookViewId="0">
      <selection activeCell="I7" sqref="I7"/>
    </sheetView>
  </sheetViews>
  <sheetFormatPr baseColWidth="10" defaultColWidth="9.1640625" defaultRowHeight="12" x14ac:dyDescent="0.15"/>
  <cols>
    <col min="1" max="1" width="2" style="11" customWidth="1"/>
    <col min="2" max="2" width="22.6640625" style="11" customWidth="1"/>
    <col min="3" max="3" width="11.6640625" style="11" bestFit="1" customWidth="1"/>
    <col min="4" max="4" width="9.33203125" style="11" bestFit="1" customWidth="1"/>
    <col min="5" max="5" width="11.6640625" style="11" bestFit="1" customWidth="1"/>
    <col min="6" max="6" width="2" style="11" customWidth="1"/>
    <col min="7" max="7" width="13.33203125" style="11" bestFit="1" customWidth="1"/>
    <col min="8" max="11" width="12.1640625" style="11" bestFit="1" customWidth="1"/>
    <col min="12" max="12" width="2" style="11" customWidth="1"/>
    <col min="13" max="16384" width="9.1640625" style="11"/>
  </cols>
  <sheetData>
    <row r="1" spans="2:13" ht="16" x14ac:dyDescent="0.2">
      <c r="B1" s="10" t="s">
        <v>0</v>
      </c>
    </row>
    <row r="4" spans="2:13" x14ac:dyDescent="0.15">
      <c r="B4" s="11" t="s">
        <v>96</v>
      </c>
      <c r="C4" s="26">
        <v>0.1</v>
      </c>
    </row>
    <row r="5" spans="2:13" x14ac:dyDescent="0.15">
      <c r="B5" s="11" t="s">
        <v>97</v>
      </c>
      <c r="C5" s="26">
        <v>0.02</v>
      </c>
    </row>
    <row r="6" spans="2:13" x14ac:dyDescent="0.15">
      <c r="C6" s="26"/>
      <c r="G6" s="11">
        <v>1</v>
      </c>
      <c r="H6" s="11">
        <v>2</v>
      </c>
      <c r="I6" s="11">
        <v>3</v>
      </c>
      <c r="J6" s="11">
        <v>4</v>
      </c>
      <c r="K6" s="11">
        <v>5</v>
      </c>
    </row>
    <row r="7" spans="2:13" ht="27" thickBot="1" x14ac:dyDescent="0.2">
      <c r="B7" s="103" t="s">
        <v>27</v>
      </c>
      <c r="C7" s="104" t="s">
        <v>28</v>
      </c>
      <c r="D7" s="104" t="s">
        <v>29</v>
      </c>
      <c r="E7" s="104" t="s">
        <v>30</v>
      </c>
      <c r="F7" s="105"/>
      <c r="G7" s="104" t="s">
        <v>31</v>
      </c>
      <c r="H7" s="104" t="s">
        <v>32</v>
      </c>
      <c r="I7" s="104" t="s">
        <v>33</v>
      </c>
      <c r="J7" s="104" t="s">
        <v>34</v>
      </c>
      <c r="K7" s="104" t="s">
        <v>35</v>
      </c>
      <c r="M7" s="106" t="s">
        <v>98</v>
      </c>
    </row>
    <row r="8" spans="2:13" x14ac:dyDescent="0.15">
      <c r="B8" s="11" t="s">
        <v>87</v>
      </c>
      <c r="D8" s="18">
        <f>'Cash Flow'!D23</f>
        <v>7961.0512257182436</v>
      </c>
      <c r="E8" s="18">
        <f>'Cash Flow'!E23</f>
        <v>5035.7513271336611</v>
      </c>
      <c r="G8" s="18">
        <f>'Cash Flow'!G23</f>
        <v>21798.193582879197</v>
      </c>
      <c r="H8" s="18">
        <f>'Cash Flow'!H23</f>
        <v>27710.736923367251</v>
      </c>
      <c r="I8" s="18">
        <f>'Cash Flow'!I23</f>
        <v>30015.993215703947</v>
      </c>
      <c r="J8" s="18">
        <f>'Cash Flow'!J23</f>
        <v>32551.775137274351</v>
      </c>
      <c r="K8" s="18">
        <f>'Cash Flow'!K23</f>
        <v>35341.135251001891</v>
      </c>
    </row>
    <row r="9" spans="2:13" ht="3.75" customHeight="1" x14ac:dyDescent="0.15">
      <c r="G9" s="18"/>
      <c r="H9" s="18"/>
      <c r="I9" s="18"/>
      <c r="J9" s="18"/>
      <c r="K9" s="18"/>
    </row>
    <row r="10" spans="2:13" x14ac:dyDescent="0.15">
      <c r="B10" s="40" t="s">
        <v>99</v>
      </c>
      <c r="C10" s="40"/>
      <c r="D10" s="40"/>
      <c r="E10" s="40"/>
      <c r="F10" s="40"/>
      <c r="G10" s="112">
        <f>1/(1+$C$4)^G6</f>
        <v>0.90909090909090906</v>
      </c>
      <c r="H10" s="112">
        <f t="shared" ref="H10:K10" si="0">1/(1+$C$4)^H6</f>
        <v>0.82644628099173545</v>
      </c>
      <c r="I10" s="112">
        <f t="shared" si="0"/>
        <v>0.75131480090157754</v>
      </c>
      <c r="J10" s="112">
        <f t="shared" si="0"/>
        <v>0.68301345536507052</v>
      </c>
      <c r="K10" s="112">
        <f t="shared" si="0"/>
        <v>0.62092132305915493</v>
      </c>
    </row>
    <row r="11" spans="2:13" x14ac:dyDescent="0.15">
      <c r="B11" s="102" t="s">
        <v>100</v>
      </c>
      <c r="C11" s="102"/>
      <c r="D11" s="102"/>
      <c r="E11" s="102"/>
      <c r="F11" s="107"/>
      <c r="G11" s="11">
        <f>G8*G10</f>
        <v>19816.539620799271</v>
      </c>
      <c r="H11" s="11">
        <f t="shared" ref="H11:K11" si="1">H8*H10</f>
        <v>22901.435473857229</v>
      </c>
      <c r="I11" s="11">
        <f t="shared" si="1"/>
        <v>22551.459966719714</v>
      </c>
      <c r="J11" s="11">
        <f t="shared" si="1"/>
        <v>22233.300414776546</v>
      </c>
      <c r="K11" s="11">
        <f t="shared" si="1"/>
        <v>21944.064458464632</v>
      </c>
    </row>
    <row r="14" spans="2:13" x14ac:dyDescent="0.15">
      <c r="C14" s="18"/>
      <c r="D14" s="11" t="s">
        <v>101</v>
      </c>
      <c r="E14" s="79"/>
      <c r="F14" s="80"/>
      <c r="G14" s="26"/>
    </row>
    <row r="15" spans="2:13" x14ac:dyDescent="0.15">
      <c r="B15" s="108" t="s">
        <v>102</v>
      </c>
      <c r="C15" s="109">
        <f>SUM(G11:K11)</f>
        <v>109446.7999346174</v>
      </c>
      <c r="D15" s="108"/>
      <c r="E15" s="110">
        <f>C15/C18</f>
        <v>0.28118536994336663</v>
      </c>
      <c r="F15" s="108"/>
      <c r="G15" s="18"/>
      <c r="H15" s="18"/>
      <c r="I15" s="18"/>
      <c r="J15" s="18"/>
      <c r="K15" s="18"/>
    </row>
    <row r="16" spans="2:13" x14ac:dyDescent="0.15">
      <c r="B16" s="11" t="s">
        <v>103</v>
      </c>
      <c r="C16" s="18">
        <f>K8*(1+C5)/(C4-C5)</f>
        <v>450599.47445027408</v>
      </c>
      <c r="E16" s="79"/>
      <c r="F16" s="80"/>
      <c r="G16" s="18"/>
      <c r="H16" s="18"/>
      <c r="I16" s="18"/>
      <c r="J16" s="18"/>
      <c r="K16" s="18"/>
    </row>
    <row r="17" spans="2:11" x14ac:dyDescent="0.15">
      <c r="B17" s="11" t="s">
        <v>104</v>
      </c>
      <c r="C17" s="18">
        <f>-PV(C4,K6,0,C16)</f>
        <v>279786.82184542407</v>
      </c>
      <c r="E17" s="79">
        <f>C17/C18</f>
        <v>0.71881463005663337</v>
      </c>
      <c r="F17" s="80"/>
      <c r="G17" s="18"/>
      <c r="H17" s="18"/>
      <c r="I17" s="18"/>
      <c r="J17" s="18"/>
      <c r="K17" s="18"/>
    </row>
    <row r="18" spans="2:11" x14ac:dyDescent="0.15">
      <c r="B18" s="11" t="s">
        <v>105</v>
      </c>
      <c r="C18" s="18">
        <f>C15+C17</f>
        <v>389233.62178004149</v>
      </c>
      <c r="E18" s="79"/>
      <c r="F18" s="80"/>
      <c r="G18" s="18"/>
      <c r="H18" s="18"/>
      <c r="I18" s="18"/>
      <c r="J18" s="18"/>
      <c r="K18" s="18"/>
    </row>
    <row r="19" spans="2:11" x14ac:dyDescent="0.15">
      <c r="B19" s="102"/>
      <c r="C19" s="107"/>
      <c r="D19" s="102"/>
      <c r="E19" s="107"/>
      <c r="F19" s="102"/>
      <c r="G19" s="18"/>
      <c r="H19" s="113" t="s">
        <v>96</v>
      </c>
      <c r="I19" s="113"/>
      <c r="J19" s="18"/>
      <c r="K19" s="18"/>
    </row>
    <row r="20" spans="2:11" x14ac:dyDescent="0.15">
      <c r="C20" s="18"/>
      <c r="E20" s="18">
        <f>C18</f>
        <v>389233.62178004149</v>
      </c>
      <c r="G20" s="26">
        <v>0.08</v>
      </c>
      <c r="H20" s="81">
        <v>0.09</v>
      </c>
      <c r="I20" s="81">
        <v>0.1</v>
      </c>
      <c r="J20" s="81">
        <v>0.11</v>
      </c>
      <c r="K20" s="81">
        <v>0.12</v>
      </c>
    </row>
    <row r="21" spans="2:11" x14ac:dyDescent="0.15">
      <c r="C21" s="18"/>
      <c r="E21" s="26">
        <v>0.01</v>
      </c>
      <c r="F21" s="11">
        <f t="dataTable" ref="F21:K24" dt2D="1" dtr="1" r1="C4" r2="C5"/>
        <v>-3422036.8262409642</v>
      </c>
      <c r="G21" s="18">
        <v>462792.18474578758</v>
      </c>
      <c r="H21" s="82">
        <v>402517.15786805283</v>
      </c>
      <c r="I21" s="82">
        <v>355707.96774627606</v>
      </c>
      <c r="J21" s="82">
        <v>318321.97056522034</v>
      </c>
      <c r="K21" s="82">
        <v>287786.7204544103</v>
      </c>
    </row>
    <row r="22" spans="2:11" x14ac:dyDescent="0.15">
      <c r="B22" s="102"/>
      <c r="C22" s="107"/>
      <c r="D22" s="102"/>
      <c r="E22" s="26">
        <v>0.02</v>
      </c>
      <c r="F22" s="102">
        <v>-1654980.0636908696</v>
      </c>
      <c r="G22" s="82">
        <v>524641.68341531965</v>
      </c>
      <c r="H22" s="83">
        <v>447225.28500997194</v>
      </c>
      <c r="I22" s="18">
        <v>389233.62178004149</v>
      </c>
      <c r="J22" s="83">
        <v>344188.97106664552</v>
      </c>
      <c r="K22" s="83">
        <v>308204.83896655764</v>
      </c>
    </row>
    <row r="23" spans="2:11" x14ac:dyDescent="0.15">
      <c r="B23" s="114" t="s">
        <v>97</v>
      </c>
      <c r="C23" s="114"/>
      <c r="D23" s="114"/>
      <c r="E23" s="26">
        <v>0.03</v>
      </c>
      <c r="F23" s="11">
        <v>-1065961.1428408383</v>
      </c>
      <c r="G23" s="82">
        <v>611230.98155266442</v>
      </c>
      <c r="H23" s="83">
        <v>506836.12119919737</v>
      </c>
      <c r="I23" s="83">
        <v>432338.03410916845</v>
      </c>
      <c r="J23" s="83">
        <v>376522.72169342701</v>
      </c>
      <c r="K23" s="83">
        <v>333160.3171480709</v>
      </c>
    </row>
    <row r="24" spans="2:11" x14ac:dyDescent="0.15">
      <c r="B24" s="114"/>
      <c r="C24" s="114"/>
      <c r="D24" s="114"/>
      <c r="E24" s="26">
        <v>0.04</v>
      </c>
      <c r="F24" s="11">
        <v>-771451.68241582252</v>
      </c>
      <c r="G24" s="82">
        <v>741114.92875868175</v>
      </c>
      <c r="H24" s="83">
        <v>590291.29186411295</v>
      </c>
      <c r="I24" s="83">
        <v>489810.58388133772</v>
      </c>
      <c r="J24" s="83">
        <v>418094.68678500317</v>
      </c>
      <c r="K24" s="83">
        <v>364354.66487496253</v>
      </c>
    </row>
    <row r="25" spans="2:11" x14ac:dyDescent="0.15">
      <c r="E25" s="26"/>
      <c r="G25" s="27"/>
      <c r="H25" s="30"/>
      <c r="I25" s="30"/>
      <c r="J25" s="84"/>
      <c r="K25" s="30"/>
    </row>
    <row r="26" spans="2:11" x14ac:dyDescent="0.15">
      <c r="E26" s="26"/>
      <c r="F26" s="30"/>
      <c r="G26" s="27"/>
      <c r="H26" s="30"/>
      <c r="I26" s="30"/>
      <c r="J26" s="30"/>
      <c r="K26" s="30"/>
    </row>
    <row r="27" spans="2:11" x14ac:dyDescent="0.15">
      <c r="E27" s="26"/>
      <c r="G27" s="111"/>
      <c r="H27" s="18"/>
      <c r="I27" s="18"/>
      <c r="J27" s="18"/>
      <c r="K27" s="18"/>
    </row>
    <row r="28" spans="2:11" x14ac:dyDescent="0.15">
      <c r="E28" s="26"/>
      <c r="G28" s="111"/>
      <c r="H28" s="18"/>
      <c r="I28" s="18"/>
      <c r="J28" s="18"/>
      <c r="K28" s="18"/>
    </row>
    <row r="29" spans="2:11" x14ac:dyDescent="0.15">
      <c r="E29" s="26"/>
      <c r="G29" s="111"/>
      <c r="H29" s="18"/>
      <c r="I29" s="18"/>
      <c r="J29" s="18"/>
      <c r="K29" s="18"/>
    </row>
    <row r="30" spans="2:11" x14ac:dyDescent="0.15">
      <c r="E30" s="26"/>
      <c r="G30" s="111"/>
      <c r="H30" s="18"/>
      <c r="I30" s="18"/>
      <c r="J30" s="18"/>
      <c r="K30" s="18"/>
    </row>
    <row r="31" spans="2:11" x14ac:dyDescent="0.15">
      <c r="E31" s="26"/>
    </row>
    <row r="32" spans="2:11" x14ac:dyDescent="0.15">
      <c r="E32" s="26"/>
    </row>
  </sheetData>
  <mergeCells count="3">
    <mergeCell ref="H19:I19"/>
    <mergeCell ref="B23:D23"/>
    <mergeCell ref="B24:D2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Index</vt:lpstr>
      <vt:lpstr>1.Input</vt:lpstr>
      <vt:lpstr>IS assumptions</vt:lpstr>
      <vt:lpstr>BS assumptions</vt:lpstr>
      <vt:lpstr>2.Output</vt:lpstr>
      <vt:lpstr>IS</vt:lpstr>
      <vt:lpstr>BS</vt:lpstr>
      <vt:lpstr>Cash Flow</vt:lpstr>
      <vt:lpstr>DCF valuation</vt:lpstr>
      <vt:lpstr>3.Charts </vt:lpstr>
      <vt:lpstr>Revenues&amp;Ebitda</vt:lpstr>
      <vt:lpstr>Cash flows</vt:lpstr>
      <vt:lpstr>Working capital</vt:lpstr>
      <vt:lpstr>DCF results</vt:lpstr>
      <vt:lpstr>4.Sources --&gt;</vt:lpstr>
      <vt:lpstr>IS source</vt:lpstr>
      <vt:lpstr>BS source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Kennedy</dc:creator>
  <cp:lastModifiedBy>Microsoft Office User</cp:lastModifiedBy>
  <dcterms:created xsi:type="dcterms:W3CDTF">2025-05-13T21:01:40Z</dcterms:created>
  <dcterms:modified xsi:type="dcterms:W3CDTF">2025-05-29T07:24:45Z</dcterms:modified>
</cp:coreProperties>
</file>